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a94b5f6d9c58a1/MIS DOCUMENTOS 2022/VARIABLES PARTICIPACIONES 2022/"/>
    </mc:Choice>
  </mc:AlternateContent>
  <xr:revisionPtr revIDLastSave="0" documentId="8_{41321E95-529E-4ADE-8342-B6AD58BE6F6F}" xr6:coauthVersionLast="46" xr6:coauthVersionMax="46" xr10:uidLastSave="{00000000-0000-0000-0000-000000000000}"/>
  <bookViews>
    <workbookView xWindow="-120" yWindow="-120" windowWidth="29040" windowHeight="15840" tabRatio="860" firstSheet="2" activeTab="11" xr2:uid="{00000000-000D-0000-FFFF-FFFF00000000}"/>
  </bookViews>
  <sheets>
    <sheet name="Captura" sheetId="13" state="hidden" r:id="rId1"/>
    <sheet name="Acumulado" sheetId="4" state="hidden" r:id="rId2"/>
    <sheet name="FGP" sheetId="12" r:id="rId3"/>
    <sheet name="IEPS-BCT" sheetId="15" r:id="rId4"/>
    <sheet name="FFM" sheetId="14" r:id="rId5"/>
    <sheet name="FOFIR" sheetId="16" r:id="rId6"/>
    <sheet name="IEPS-GASOLINA" sheetId="17" r:id="rId7"/>
    <sheet name="ISAN" sheetId="18" r:id="rId8"/>
    <sheet name="Comp. ISAN" sheetId="19" r:id="rId9"/>
    <sheet name="ISTV" sheetId="20" r:id="rId10"/>
    <sheet name="ISR 3-B LCF" sheetId="21" r:id="rId11"/>
    <sheet name="ISR 126" sheetId="22" r:id="rId12"/>
  </sheets>
  <definedNames>
    <definedName name="_xlnm.Print_Area" localSheetId="1">Acumulado!$B$1:$J$41</definedName>
    <definedName name="_xlnm.Print_Area" localSheetId="2">FGP!$B$1:$H$43</definedName>
    <definedName name="_xlnm.Print_Area" localSheetId="3">'IEPS-BCT'!$B$1:$H$43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7" l="1"/>
  <c r="C8" i="16"/>
  <c r="K36" i="13"/>
  <c r="K34" i="13"/>
  <c r="F44" i="13" l="1"/>
  <c r="F34" i="13"/>
  <c r="H12" i="13" l="1"/>
  <c r="B13" i="17" l="1"/>
  <c r="B16" i="16"/>
  <c r="B18" i="15"/>
  <c r="B21" i="14" s="1"/>
  <c r="B17" i="15"/>
  <c r="B20" i="14" s="1"/>
  <c r="B13" i="15"/>
  <c r="H14" i="22" l="1"/>
  <c r="C8" i="22" l="1"/>
  <c r="M15" i="13"/>
  <c r="C8" i="20"/>
  <c r="C8" i="18" l="1"/>
  <c r="F14" i="13" l="1"/>
  <c r="H46" i="13"/>
  <c r="H45" i="13"/>
  <c r="H44" i="13"/>
  <c r="H43" i="13"/>
  <c r="H42" i="13"/>
  <c r="H33" i="13"/>
  <c r="H34" i="13"/>
  <c r="H35" i="13"/>
  <c r="H36" i="13"/>
  <c r="H32" i="13"/>
  <c r="G47" i="13"/>
  <c r="G7" i="13" s="1"/>
  <c r="G19" i="22" s="1"/>
  <c r="F47" i="13"/>
  <c r="F7" i="13" s="1"/>
  <c r="F19" i="22" s="1"/>
  <c r="E47" i="13"/>
  <c r="E7" i="13" s="1"/>
  <c r="E19" i="22" s="1"/>
  <c r="D47" i="13"/>
  <c r="D7" i="13" s="1"/>
  <c r="D19" i="22" s="1"/>
  <c r="C47" i="13"/>
  <c r="C7" i="13" s="1"/>
  <c r="C19" i="22" s="1"/>
  <c r="C37" i="13"/>
  <c r="C6" i="13" s="1"/>
  <c r="C18" i="22" s="1"/>
  <c r="D37" i="13"/>
  <c r="D6" i="13" s="1"/>
  <c r="D18" i="22" s="1"/>
  <c r="E37" i="13"/>
  <c r="E6" i="13" s="1"/>
  <c r="E18" i="22" s="1"/>
  <c r="G37" i="13"/>
  <c r="G6" i="13" s="1"/>
  <c r="G18" i="22" s="1"/>
  <c r="F37" i="13"/>
  <c r="F6" i="13" s="1"/>
  <c r="F18" i="22" s="1"/>
  <c r="E8" i="22"/>
  <c r="G20" i="22" l="1"/>
  <c r="F20" i="22"/>
  <c r="D20" i="22"/>
  <c r="H19" i="22"/>
  <c r="E20" i="22"/>
  <c r="H18" i="22"/>
  <c r="C20" i="22"/>
  <c r="D13" i="22"/>
  <c r="C13" i="22"/>
  <c r="G13" i="22"/>
  <c r="F13" i="22"/>
  <c r="E13" i="22"/>
  <c r="H47" i="13"/>
  <c r="H37" i="13"/>
  <c r="D36" i="4"/>
  <c r="H13" i="21"/>
  <c r="L13" i="13"/>
  <c r="H20" i="22" l="1"/>
  <c r="G21" i="22" s="1"/>
  <c r="G17" i="22" s="1"/>
  <c r="G23" i="22" s="1"/>
  <c r="F40" i="4" s="1"/>
  <c r="F21" i="22"/>
  <c r="F17" i="22" s="1"/>
  <c r="F23" i="22" s="1"/>
  <c r="F39" i="4" s="1"/>
  <c r="H13" i="22"/>
  <c r="C8" i="21"/>
  <c r="E8" i="21" s="1"/>
  <c r="G14" i="21"/>
  <c r="C40" i="4" s="1"/>
  <c r="F14" i="21"/>
  <c r="C39" i="4" s="1"/>
  <c r="E14" i="21"/>
  <c r="D14" i="21"/>
  <c r="C14" i="21"/>
  <c r="C36" i="4" s="1"/>
  <c r="E21" i="22" l="1"/>
  <c r="E17" i="22" s="1"/>
  <c r="E23" i="22" s="1"/>
  <c r="F38" i="4" s="1"/>
  <c r="C21" i="22"/>
  <c r="C17" i="22" s="1"/>
  <c r="C23" i="22" s="1"/>
  <c r="F36" i="4" s="1"/>
  <c r="D21" i="22"/>
  <c r="D17" i="22" s="1"/>
  <c r="D23" i="22" s="1"/>
  <c r="F37" i="4" s="1"/>
  <c r="C16" i="21"/>
  <c r="D16" i="21"/>
  <c r="E16" i="21"/>
  <c r="F16" i="21"/>
  <c r="D39" i="4" s="1"/>
  <c r="G16" i="21"/>
  <c r="D40" i="4" s="1"/>
  <c r="H14" i="21"/>
  <c r="H16" i="21" s="1"/>
  <c r="H18" i="21" s="1"/>
  <c r="F41" i="4" l="1"/>
  <c r="H17" i="22"/>
  <c r="H23" i="22" s="1"/>
  <c r="C25" i="22" s="1"/>
  <c r="E36" i="4" s="1"/>
  <c r="H21" i="22"/>
  <c r="E18" i="21"/>
  <c r="D18" i="21"/>
  <c r="C18" i="21"/>
  <c r="F18" i="21"/>
  <c r="G18" i="21"/>
  <c r="G25" i="22" l="1"/>
  <c r="E40" i="4" s="1"/>
  <c r="E25" i="22"/>
  <c r="E38" i="4" s="1"/>
  <c r="F25" i="22"/>
  <c r="E39" i="4" s="1"/>
  <c r="D25" i="22"/>
  <c r="E37" i="4" s="1"/>
  <c r="E41" i="4" s="1"/>
  <c r="H25" i="22"/>
  <c r="D13" i="20"/>
  <c r="E13" i="20"/>
  <c r="F13" i="20"/>
  <c r="G13" i="20"/>
  <c r="C13" i="20"/>
  <c r="D8" i="20"/>
  <c r="E8" i="20" s="1"/>
  <c r="D8" i="19"/>
  <c r="C8" i="19"/>
  <c r="G13" i="19"/>
  <c r="F13" i="19"/>
  <c r="E13" i="19"/>
  <c r="D13" i="19"/>
  <c r="C13" i="19"/>
  <c r="D13" i="18"/>
  <c r="E13" i="18"/>
  <c r="F13" i="18"/>
  <c r="G13" i="18"/>
  <c r="C13" i="18"/>
  <c r="D8" i="18"/>
  <c r="E8" i="18" s="1"/>
  <c r="D24" i="17"/>
  <c r="E24" i="17"/>
  <c r="F24" i="17"/>
  <c r="G24" i="17"/>
  <c r="C24" i="17"/>
  <c r="D23" i="17"/>
  <c r="E23" i="17"/>
  <c r="F23" i="17"/>
  <c r="G23" i="17"/>
  <c r="C23" i="17"/>
  <c r="H13" i="13"/>
  <c r="H14" i="13"/>
  <c r="D17" i="17"/>
  <c r="E17" i="17"/>
  <c r="F17" i="17"/>
  <c r="G17" i="17"/>
  <c r="D18" i="17"/>
  <c r="E18" i="17"/>
  <c r="F18" i="17"/>
  <c r="G18" i="17"/>
  <c r="C18" i="17"/>
  <c r="C17" i="17"/>
  <c r="D8" i="17"/>
  <c r="C8" i="17"/>
  <c r="G13" i="17"/>
  <c r="F13" i="17"/>
  <c r="E13" i="17"/>
  <c r="D13" i="17"/>
  <c r="C13" i="17"/>
  <c r="F21" i="16"/>
  <c r="E21" i="16"/>
  <c r="D21" i="16"/>
  <c r="C21" i="16"/>
  <c r="G20" i="16"/>
  <c r="F20" i="16"/>
  <c r="E20" i="16"/>
  <c r="D20" i="16"/>
  <c r="C20" i="16"/>
  <c r="G16" i="16"/>
  <c r="F16" i="16"/>
  <c r="E16" i="16"/>
  <c r="D16" i="16"/>
  <c r="C16" i="16"/>
  <c r="H13" i="16"/>
  <c r="D8" i="14"/>
  <c r="C8" i="14"/>
  <c r="G38" i="15"/>
  <c r="F38" i="15"/>
  <c r="E38" i="15"/>
  <c r="D38" i="15"/>
  <c r="C38" i="15"/>
  <c r="G34" i="15"/>
  <c r="F34" i="15"/>
  <c r="E34" i="15"/>
  <c r="D34" i="15"/>
  <c r="C34" i="15"/>
  <c r="G30" i="15"/>
  <c r="F30" i="15"/>
  <c r="E30" i="15"/>
  <c r="D30" i="15"/>
  <c r="C30" i="15"/>
  <c r="H23" i="15"/>
  <c r="F18" i="15"/>
  <c r="E18" i="15"/>
  <c r="D18" i="15"/>
  <c r="C18" i="15"/>
  <c r="G17" i="15"/>
  <c r="F17" i="15"/>
  <c r="E17" i="15"/>
  <c r="D17" i="15"/>
  <c r="C17" i="15"/>
  <c r="G13" i="15"/>
  <c r="F13" i="15"/>
  <c r="E13" i="15"/>
  <c r="D13" i="15"/>
  <c r="C13" i="15"/>
  <c r="D8" i="15"/>
  <c r="C8" i="15"/>
  <c r="H13" i="14"/>
  <c r="F21" i="14"/>
  <c r="E21" i="14"/>
  <c r="D21" i="14"/>
  <c r="C21" i="14"/>
  <c r="G20" i="14"/>
  <c r="F20" i="14"/>
  <c r="E20" i="14"/>
  <c r="D20" i="14"/>
  <c r="C20" i="14"/>
  <c r="G16" i="14"/>
  <c r="F16" i="14"/>
  <c r="E16" i="14"/>
  <c r="D16" i="14"/>
  <c r="C16" i="14"/>
  <c r="D8" i="12"/>
  <c r="C8" i="12"/>
  <c r="D38" i="12"/>
  <c r="E38" i="12"/>
  <c r="F38" i="12"/>
  <c r="G38" i="12"/>
  <c r="C38" i="12"/>
  <c r="D34" i="12"/>
  <c r="E34" i="12"/>
  <c r="F34" i="12"/>
  <c r="G34" i="12"/>
  <c r="C34" i="12"/>
  <c r="D30" i="12"/>
  <c r="E30" i="12"/>
  <c r="F30" i="12"/>
  <c r="G30" i="12"/>
  <c r="C30" i="12"/>
  <c r="D18" i="12"/>
  <c r="E18" i="12"/>
  <c r="F18" i="12"/>
  <c r="C18" i="12"/>
  <c r="D17" i="12"/>
  <c r="E17" i="12"/>
  <c r="F17" i="12"/>
  <c r="G17" i="12"/>
  <c r="C17" i="12"/>
  <c r="D13" i="12"/>
  <c r="E13" i="12"/>
  <c r="F13" i="12"/>
  <c r="G13" i="12"/>
  <c r="C13" i="12"/>
  <c r="K16" i="13"/>
  <c r="H6" i="13"/>
  <c r="H8" i="13"/>
  <c r="H30" i="15" s="1"/>
  <c r="H31" i="15" s="1"/>
  <c r="H9" i="13"/>
  <c r="H34" i="15" s="1"/>
  <c r="H10" i="13"/>
  <c r="H38" i="12" s="1"/>
  <c r="H11" i="13"/>
  <c r="H17" i="17" s="1"/>
  <c r="H18" i="17"/>
  <c r="H15" i="13"/>
  <c r="H16" i="13"/>
  <c r="H17" i="13"/>
  <c r="H13" i="18" s="1"/>
  <c r="H18" i="13"/>
  <c r="H13" i="20" s="1"/>
  <c r="E14" i="20" s="1"/>
  <c r="H5" i="13"/>
  <c r="H7" i="13"/>
  <c r="I47" i="13" s="1"/>
  <c r="M14" i="13"/>
  <c r="M13" i="13"/>
  <c r="M12" i="13"/>
  <c r="M11" i="13"/>
  <c r="M10" i="13"/>
  <c r="M9" i="13"/>
  <c r="M8" i="13"/>
  <c r="M7" i="13"/>
  <c r="M6" i="13"/>
  <c r="M5" i="13"/>
  <c r="H23" i="12"/>
  <c r="E8" i="15" l="1"/>
  <c r="D25" i="17"/>
  <c r="F19" i="17"/>
  <c r="H23" i="17"/>
  <c r="C25" i="17"/>
  <c r="F25" i="17"/>
  <c r="H38" i="15"/>
  <c r="H39" i="15" s="1"/>
  <c r="H13" i="19"/>
  <c r="G14" i="19" s="1"/>
  <c r="H24" i="17"/>
  <c r="D14" i="20"/>
  <c r="D16" i="20" s="1"/>
  <c r="J24" i="4" s="1"/>
  <c r="C22" i="16"/>
  <c r="G21" i="16"/>
  <c r="H21" i="16" s="1"/>
  <c r="G14" i="20"/>
  <c r="G16" i="20" s="1"/>
  <c r="J27" i="4" s="1"/>
  <c r="E25" i="17"/>
  <c r="G25" i="17"/>
  <c r="C14" i="20"/>
  <c r="D19" i="17"/>
  <c r="E19" i="17"/>
  <c r="E22" i="16"/>
  <c r="F14" i="20"/>
  <c r="F16" i="20" s="1"/>
  <c r="J26" i="4" s="1"/>
  <c r="E16" i="20"/>
  <c r="J25" i="4" s="1"/>
  <c r="E8" i="19"/>
  <c r="G14" i="18"/>
  <c r="G16" i="18" s="1"/>
  <c r="E8" i="14"/>
  <c r="G12" i="14" s="1"/>
  <c r="E22" i="15"/>
  <c r="D19" i="15"/>
  <c r="D22" i="16"/>
  <c r="F39" i="12"/>
  <c r="C22" i="14"/>
  <c r="E19" i="15"/>
  <c r="F22" i="16"/>
  <c r="G39" i="12"/>
  <c r="H19" i="17"/>
  <c r="H20" i="17" s="1"/>
  <c r="H30" i="12"/>
  <c r="H31" i="12" s="1"/>
  <c r="C19" i="15"/>
  <c r="G19" i="17"/>
  <c r="H35" i="15"/>
  <c r="G35" i="15"/>
  <c r="C35" i="15"/>
  <c r="E31" i="15"/>
  <c r="C31" i="15"/>
  <c r="G21" i="14"/>
  <c r="G22" i="14" s="1"/>
  <c r="G18" i="15"/>
  <c r="H18" i="15" s="1"/>
  <c r="D31" i="15"/>
  <c r="E35" i="15"/>
  <c r="G31" i="15"/>
  <c r="H34" i="12"/>
  <c r="F35" i="12" s="1"/>
  <c r="E39" i="12"/>
  <c r="F35" i="15"/>
  <c r="H16" i="16"/>
  <c r="F17" i="16" s="1"/>
  <c r="C19" i="17"/>
  <c r="D35" i="15"/>
  <c r="G18" i="12"/>
  <c r="H18" i="12" s="1"/>
  <c r="C39" i="12"/>
  <c r="D39" i="12"/>
  <c r="F19" i="15"/>
  <c r="F31" i="15"/>
  <c r="H13" i="17"/>
  <c r="D14" i="17" s="1"/>
  <c r="E8" i="17"/>
  <c r="E8" i="16"/>
  <c r="E12" i="16" s="1"/>
  <c r="H20" i="16"/>
  <c r="E22" i="14"/>
  <c r="F22" i="14"/>
  <c r="H16" i="14"/>
  <c r="F17" i="14" s="1"/>
  <c r="D22" i="14"/>
  <c r="H13" i="15"/>
  <c r="F14" i="15" s="1"/>
  <c r="H17" i="15"/>
  <c r="H20" i="14"/>
  <c r="E8" i="12"/>
  <c r="D22" i="12" s="1"/>
  <c r="E19" i="12"/>
  <c r="H39" i="12"/>
  <c r="M16" i="13"/>
  <c r="C19" i="12"/>
  <c r="F19" i="12"/>
  <c r="G22" i="16" l="1"/>
  <c r="E29" i="15"/>
  <c r="G29" i="15"/>
  <c r="D29" i="15"/>
  <c r="C14" i="19"/>
  <c r="C16" i="19" s="1"/>
  <c r="H23" i="4" s="1"/>
  <c r="F15" i="14"/>
  <c r="F12" i="14"/>
  <c r="C12" i="14"/>
  <c r="H25" i="17"/>
  <c r="H26" i="17" s="1"/>
  <c r="F14" i="19"/>
  <c r="F16" i="19" s="1"/>
  <c r="H26" i="4" s="1"/>
  <c r="E14" i="19"/>
  <c r="E16" i="19" s="1"/>
  <c r="H25" i="4" s="1"/>
  <c r="D14" i="19"/>
  <c r="D16" i="19" s="1"/>
  <c r="H24" i="4" s="1"/>
  <c r="E39" i="15"/>
  <c r="E37" i="15" s="1"/>
  <c r="F39" i="15"/>
  <c r="F37" i="15" s="1"/>
  <c r="D39" i="15"/>
  <c r="D37" i="15" s="1"/>
  <c r="G39" i="15"/>
  <c r="G37" i="15" s="1"/>
  <c r="C39" i="15"/>
  <c r="C37" i="15" s="1"/>
  <c r="H14" i="20"/>
  <c r="H16" i="20" s="1"/>
  <c r="H18" i="20" s="1"/>
  <c r="C12" i="16"/>
  <c r="D33" i="15"/>
  <c r="C16" i="20"/>
  <c r="J23" i="4" s="1"/>
  <c r="E12" i="14"/>
  <c r="E20" i="17"/>
  <c r="E16" i="17" s="1"/>
  <c r="G12" i="16"/>
  <c r="G16" i="19"/>
  <c r="F12" i="15"/>
  <c r="F22" i="15"/>
  <c r="C29" i="15"/>
  <c r="H21" i="14"/>
  <c r="H33" i="15"/>
  <c r="F33" i="15"/>
  <c r="F29" i="15"/>
  <c r="G20" i="17"/>
  <c r="G16" i="17" s="1"/>
  <c r="D12" i="14"/>
  <c r="F12" i="16"/>
  <c r="C14" i="18"/>
  <c r="C16" i="18" s="1"/>
  <c r="F23" i="4" s="1"/>
  <c r="D14" i="18"/>
  <c r="D16" i="18" s="1"/>
  <c r="F24" i="4" s="1"/>
  <c r="E14" i="18"/>
  <c r="E16" i="18" s="1"/>
  <c r="F25" i="4" s="1"/>
  <c r="F14" i="18"/>
  <c r="F16" i="18" s="1"/>
  <c r="F26" i="4" s="1"/>
  <c r="F20" i="17"/>
  <c r="F16" i="17" s="1"/>
  <c r="D20" i="17"/>
  <c r="D16" i="17" s="1"/>
  <c r="G19" i="12"/>
  <c r="F31" i="12"/>
  <c r="F29" i="12" s="1"/>
  <c r="G22" i="15"/>
  <c r="D17" i="16"/>
  <c r="D15" i="16" s="1"/>
  <c r="C33" i="15"/>
  <c r="H29" i="15"/>
  <c r="D22" i="15"/>
  <c r="C22" i="15"/>
  <c r="H37" i="15"/>
  <c r="E33" i="15"/>
  <c r="G33" i="15"/>
  <c r="E17" i="16"/>
  <c r="E15" i="16" s="1"/>
  <c r="D12" i="16"/>
  <c r="C17" i="16"/>
  <c r="C15" i="16" s="1"/>
  <c r="D31" i="12"/>
  <c r="D29" i="12" s="1"/>
  <c r="G17" i="16"/>
  <c r="G15" i="16" s="1"/>
  <c r="C20" i="17"/>
  <c r="C16" i="17" s="1"/>
  <c r="H22" i="16"/>
  <c r="E35" i="12"/>
  <c r="E33" i="12" s="1"/>
  <c r="C31" i="12"/>
  <c r="C29" i="12" s="1"/>
  <c r="E31" i="12"/>
  <c r="E29" i="12" s="1"/>
  <c r="G31" i="12"/>
  <c r="G29" i="12" s="1"/>
  <c r="C35" i="12"/>
  <c r="C33" i="12" s="1"/>
  <c r="G35" i="12"/>
  <c r="G33" i="12" s="1"/>
  <c r="H35" i="12"/>
  <c r="H33" i="12" s="1"/>
  <c r="D35" i="12"/>
  <c r="D33" i="12" s="1"/>
  <c r="G19" i="15"/>
  <c r="H19" i="15" s="1"/>
  <c r="E20" i="15" s="1"/>
  <c r="E26" i="15" s="1"/>
  <c r="G14" i="17"/>
  <c r="G12" i="17" s="1"/>
  <c r="F14" i="17"/>
  <c r="F12" i="17" s="1"/>
  <c r="C14" i="17"/>
  <c r="E14" i="17"/>
  <c r="E12" i="17" s="1"/>
  <c r="H16" i="17"/>
  <c r="D12" i="17"/>
  <c r="F15" i="16"/>
  <c r="C22" i="12"/>
  <c r="C17" i="14"/>
  <c r="C15" i="14" s="1"/>
  <c r="D17" i="14"/>
  <c r="D15" i="14" s="1"/>
  <c r="E17" i="14"/>
  <c r="E15" i="14" s="1"/>
  <c r="G17" i="14"/>
  <c r="G15" i="14" s="1"/>
  <c r="H22" i="14"/>
  <c r="C23" i="14" s="1"/>
  <c r="C19" i="14" s="1"/>
  <c r="G14" i="15"/>
  <c r="G12" i="15" s="1"/>
  <c r="C14" i="15"/>
  <c r="E14" i="15"/>
  <c r="E12" i="15" s="1"/>
  <c r="D14" i="15"/>
  <c r="D12" i="15" s="1"/>
  <c r="G22" i="12"/>
  <c r="H37" i="12"/>
  <c r="C37" i="12"/>
  <c r="F37" i="12"/>
  <c r="H29" i="12"/>
  <c r="E37" i="12"/>
  <c r="F22" i="12"/>
  <c r="D37" i="12"/>
  <c r="E22" i="12"/>
  <c r="G37" i="12"/>
  <c r="F33" i="12"/>
  <c r="D19" i="12"/>
  <c r="H13" i="12"/>
  <c r="H17" i="12"/>
  <c r="H12" i="14" l="1"/>
  <c r="H14" i="19"/>
  <c r="H16" i="19" s="1"/>
  <c r="H18" i="19" s="1"/>
  <c r="G26" i="17"/>
  <c r="G22" i="17" s="1"/>
  <c r="G28" i="17" s="1"/>
  <c r="D27" i="4" s="1"/>
  <c r="F26" i="17"/>
  <c r="F22" i="17" s="1"/>
  <c r="F28" i="17" s="1"/>
  <c r="D26" i="4" s="1"/>
  <c r="D26" i="17"/>
  <c r="D22" i="17" s="1"/>
  <c r="D28" i="17" s="1"/>
  <c r="D24" i="4" s="1"/>
  <c r="E26" i="17"/>
  <c r="E22" i="17" s="1"/>
  <c r="E28" i="17" s="1"/>
  <c r="D25" i="4" s="1"/>
  <c r="C26" i="17"/>
  <c r="C22" i="17" s="1"/>
  <c r="E18" i="20"/>
  <c r="I25" i="4" s="1"/>
  <c r="F18" i="20"/>
  <c r="I26" i="4" s="1"/>
  <c r="G18" i="20"/>
  <c r="I27" i="4" s="1"/>
  <c r="D18" i="20"/>
  <c r="I24" i="4" s="1"/>
  <c r="H19" i="12"/>
  <c r="E20" i="12" s="1"/>
  <c r="E26" i="12" s="1"/>
  <c r="C18" i="20"/>
  <c r="I23" i="4" s="1"/>
  <c r="H22" i="15"/>
  <c r="H12" i="16"/>
  <c r="F27" i="4"/>
  <c r="H27" i="4"/>
  <c r="G23" i="16"/>
  <c r="G19" i="16" s="1"/>
  <c r="G25" i="16" s="1"/>
  <c r="J14" i="4" s="1"/>
  <c r="C23" i="16"/>
  <c r="C14" i="12"/>
  <c r="C12" i="12" s="1"/>
  <c r="H14" i="18"/>
  <c r="H16" i="18" s="1"/>
  <c r="H17" i="16"/>
  <c r="D23" i="16"/>
  <c r="D19" i="16" s="1"/>
  <c r="D25" i="16" s="1"/>
  <c r="J11" i="4" s="1"/>
  <c r="E23" i="16"/>
  <c r="E19" i="16" s="1"/>
  <c r="E25" i="16" s="1"/>
  <c r="J12" i="4" s="1"/>
  <c r="C20" i="15"/>
  <c r="C16" i="15" s="1"/>
  <c r="F23" i="16"/>
  <c r="F19" i="16" s="1"/>
  <c r="F25" i="16" s="1"/>
  <c r="J13" i="4" s="1"/>
  <c r="F20" i="15"/>
  <c r="F16" i="15" s="1"/>
  <c r="D20" i="15"/>
  <c r="D26" i="15" s="1"/>
  <c r="E16" i="15"/>
  <c r="G20" i="15"/>
  <c r="G26" i="15" s="1"/>
  <c r="H17" i="14"/>
  <c r="H14" i="17"/>
  <c r="C25" i="14"/>
  <c r="H10" i="4" s="1"/>
  <c r="H12" i="17"/>
  <c r="H15" i="16"/>
  <c r="E23" i="14"/>
  <c r="E19" i="14" s="1"/>
  <c r="E25" i="14" s="1"/>
  <c r="H12" i="4" s="1"/>
  <c r="F23" i="14"/>
  <c r="F19" i="14" s="1"/>
  <c r="F25" i="14" s="1"/>
  <c r="H13" i="4" s="1"/>
  <c r="G23" i="14"/>
  <c r="G19" i="14" s="1"/>
  <c r="G25" i="14" s="1"/>
  <c r="H14" i="4" s="1"/>
  <c r="D23" i="14"/>
  <c r="D19" i="14" s="1"/>
  <c r="D25" i="14" s="1"/>
  <c r="H11" i="4" s="1"/>
  <c r="H14" i="15"/>
  <c r="C12" i="15"/>
  <c r="H22" i="12"/>
  <c r="H15" i="14"/>
  <c r="E14" i="12"/>
  <c r="E12" i="12" s="1"/>
  <c r="D14" i="12"/>
  <c r="D12" i="12" s="1"/>
  <c r="F14" i="12"/>
  <c r="F12" i="12" s="1"/>
  <c r="G14" i="12"/>
  <c r="G12" i="12" s="1"/>
  <c r="F20" i="12" l="1"/>
  <c r="F26" i="12" s="1"/>
  <c r="G20" i="12"/>
  <c r="G16" i="12" s="1"/>
  <c r="E18" i="19"/>
  <c r="G25" i="4" s="1"/>
  <c r="D18" i="19"/>
  <c r="G24" i="4" s="1"/>
  <c r="F18" i="19"/>
  <c r="G26" i="4" s="1"/>
  <c r="G18" i="19"/>
  <c r="G27" i="4" s="1"/>
  <c r="C18" i="19"/>
  <c r="G23" i="4" s="1"/>
  <c r="E16" i="12"/>
  <c r="C20" i="12"/>
  <c r="C26" i="12" s="1"/>
  <c r="D20" i="12"/>
  <c r="D26" i="12" s="1"/>
  <c r="H23" i="16"/>
  <c r="C19" i="16"/>
  <c r="H19" i="16" s="1"/>
  <c r="H25" i="16" s="1"/>
  <c r="F26" i="15"/>
  <c r="F18" i="18"/>
  <c r="E26" i="4" s="1"/>
  <c r="G18" i="18"/>
  <c r="E27" i="4" s="1"/>
  <c r="D18" i="18"/>
  <c r="E24" i="4" s="1"/>
  <c r="H18" i="18"/>
  <c r="E18" i="18"/>
  <c r="E25" i="4" s="1"/>
  <c r="C18" i="18"/>
  <c r="E23" i="4" s="1"/>
  <c r="H22" i="17"/>
  <c r="H28" i="17" s="1"/>
  <c r="H30" i="17" s="1"/>
  <c r="C26" i="15"/>
  <c r="D16" i="15"/>
  <c r="C28" i="17"/>
  <c r="D23" i="4" s="1"/>
  <c r="G16" i="15"/>
  <c r="H20" i="15"/>
  <c r="H23" i="14"/>
  <c r="H12" i="15"/>
  <c r="H14" i="12"/>
  <c r="G26" i="12" l="1"/>
  <c r="H26" i="12" s="1"/>
  <c r="D27" i="12" s="1"/>
  <c r="D25" i="12" s="1"/>
  <c r="F16" i="12"/>
  <c r="C16" i="12"/>
  <c r="H20" i="12"/>
  <c r="D16" i="12"/>
  <c r="H26" i="15"/>
  <c r="F27" i="15" s="1"/>
  <c r="F25" i="15" s="1"/>
  <c r="F41" i="15" s="1"/>
  <c r="F13" i="4" s="1"/>
  <c r="C25" i="16"/>
  <c r="J10" i="4" s="1"/>
  <c r="H16" i="15"/>
  <c r="E30" i="17"/>
  <c r="C25" i="4" s="1"/>
  <c r="G30" i="17"/>
  <c r="C27" i="4" s="1"/>
  <c r="C30" i="17"/>
  <c r="C23" i="4" s="1"/>
  <c r="D30" i="17"/>
  <c r="C24" i="4" s="1"/>
  <c r="F30" i="17"/>
  <c r="C26" i="4" s="1"/>
  <c r="H27" i="16"/>
  <c r="D27" i="16"/>
  <c r="I11" i="4" s="1"/>
  <c r="F27" i="16"/>
  <c r="I13" i="4" s="1"/>
  <c r="G27" i="16"/>
  <c r="I14" i="4" s="1"/>
  <c r="E27" i="16"/>
  <c r="I12" i="4" s="1"/>
  <c r="H19" i="14"/>
  <c r="H25" i="14" s="1"/>
  <c r="H12" i="12"/>
  <c r="H27" i="15" l="1"/>
  <c r="C27" i="15"/>
  <c r="C25" i="15" s="1"/>
  <c r="C41" i="15" s="1"/>
  <c r="F10" i="4" s="1"/>
  <c r="D27" i="15"/>
  <c r="D25" i="15" s="1"/>
  <c r="D41" i="15" s="1"/>
  <c r="F11" i="4" s="1"/>
  <c r="D41" i="12"/>
  <c r="D11" i="4" s="1"/>
  <c r="H37" i="4" s="1"/>
  <c r="H16" i="12"/>
  <c r="G27" i="15"/>
  <c r="G25" i="15" s="1"/>
  <c r="G41" i="15" s="1"/>
  <c r="F14" i="4" s="1"/>
  <c r="E27" i="15"/>
  <c r="E25" i="15" s="1"/>
  <c r="E41" i="15" s="1"/>
  <c r="F12" i="4" s="1"/>
  <c r="C27" i="16"/>
  <c r="I10" i="4" s="1"/>
  <c r="F27" i="12"/>
  <c r="F25" i="12" s="1"/>
  <c r="F41" i="12" s="1"/>
  <c r="D13" i="4" s="1"/>
  <c r="H39" i="4" s="1"/>
  <c r="H27" i="14"/>
  <c r="H27" i="12"/>
  <c r="E27" i="12"/>
  <c r="E25" i="12" s="1"/>
  <c r="E41" i="12" s="1"/>
  <c r="D12" i="4" s="1"/>
  <c r="H38" i="4" s="1"/>
  <c r="G27" i="12"/>
  <c r="G25" i="12" s="1"/>
  <c r="G41" i="12" s="1"/>
  <c r="D14" i="4" s="1"/>
  <c r="H40" i="4" s="1"/>
  <c r="C27" i="12"/>
  <c r="C25" i="12" s="1"/>
  <c r="D41" i="4"/>
  <c r="C41" i="4"/>
  <c r="H25" i="15" l="1"/>
  <c r="H41" i="15" s="1"/>
  <c r="D43" i="15" s="1"/>
  <c r="E27" i="14"/>
  <c r="G12" i="4" s="1"/>
  <c r="D27" i="14"/>
  <c r="G11" i="4" s="1"/>
  <c r="C27" i="14"/>
  <c r="G10" i="4" s="1"/>
  <c r="F27" i="14"/>
  <c r="G13" i="4" s="1"/>
  <c r="G27" i="14"/>
  <c r="G14" i="4" s="1"/>
  <c r="H25" i="12"/>
  <c r="H41" i="12" s="1"/>
  <c r="C41" i="12"/>
  <c r="J28" i="4"/>
  <c r="G28" i="4"/>
  <c r="F28" i="4"/>
  <c r="H28" i="4"/>
  <c r="I28" i="4"/>
  <c r="E28" i="4"/>
  <c r="F43" i="15" l="1"/>
  <c r="G43" i="15"/>
  <c r="E14" i="4" s="1"/>
  <c r="H43" i="15"/>
  <c r="C43" i="15"/>
  <c r="E10" i="4" s="1"/>
  <c r="E43" i="15"/>
  <c r="D10" i="4"/>
  <c r="H36" i="4" s="1"/>
  <c r="C43" i="12"/>
  <c r="C10" i="4" s="1"/>
  <c r="H43" i="12"/>
  <c r="D43" i="12"/>
  <c r="F43" i="12"/>
  <c r="E43" i="12"/>
  <c r="G43" i="12"/>
  <c r="C14" i="4" s="1"/>
  <c r="E11" i="4" l="1"/>
  <c r="C11" i="4"/>
  <c r="C13" i="4"/>
  <c r="E13" i="4"/>
  <c r="E12" i="4"/>
  <c r="C12" i="4"/>
  <c r="D28" i="4"/>
  <c r="J15" i="4"/>
  <c r="F15" i="4"/>
  <c r="C28" i="4" l="1"/>
  <c r="H15" i="4"/>
  <c r="G15" i="4" l="1"/>
  <c r="I15" i="4"/>
  <c r="E15" i="4"/>
  <c r="D15" i="4" l="1"/>
  <c r="H41" i="4"/>
  <c r="G36" i="4" s="1"/>
  <c r="G40" i="4" l="1"/>
  <c r="G39" i="4"/>
  <c r="G37" i="4"/>
  <c r="G38" i="4"/>
  <c r="C15" i="4"/>
  <c r="G41" i="4" l="1"/>
</calcChain>
</file>

<file path=xl/sharedStrings.xml><?xml version="1.0" encoding="utf-8"?>
<sst xmlns="http://schemas.openxmlformats.org/spreadsheetml/2006/main" count="371" uniqueCount="166">
  <si>
    <t>LA PAZ</t>
  </si>
  <si>
    <t>COMONDU</t>
  </si>
  <si>
    <t>MULEGE</t>
  </si>
  <si>
    <t>LOS CABOS</t>
  </si>
  <si>
    <t>LORETO</t>
  </si>
  <si>
    <t>MUNICIPIO</t>
  </si>
  <si>
    <t>Total</t>
  </si>
  <si>
    <t>Fuentes de consulta:</t>
  </si>
  <si>
    <t>SUMA</t>
  </si>
  <si>
    <t>TOTAL</t>
  </si>
  <si>
    <t>Porcentaje</t>
  </si>
  <si>
    <t>COMONDÚ</t>
  </si>
  <si>
    <t>MULEGÉ</t>
  </si>
  <si>
    <t>Fondo General de Participaciones</t>
  </si>
  <si>
    <t>Fondo de Fomento Municipal</t>
  </si>
  <si>
    <t>Fondo de Fiscalización y Recaudación</t>
  </si>
  <si>
    <t>IEPS-Bebida, Cerveza y Tabaco</t>
  </si>
  <si>
    <t>ISAN</t>
  </si>
  <si>
    <t>Estado</t>
  </si>
  <si>
    <t xml:space="preserve">Porcentaje de Distribución </t>
  </si>
  <si>
    <t>Importe</t>
  </si>
  <si>
    <t>100% ISR Salarios Entidades</t>
  </si>
  <si>
    <t>FGP</t>
  </si>
  <si>
    <t>FFM</t>
  </si>
  <si>
    <t>FOFIR</t>
  </si>
  <si>
    <t>IEPS GASOLINA</t>
  </si>
  <si>
    <t>COMP. ISAN</t>
  </si>
  <si>
    <t>COMP REPECOS</t>
  </si>
  <si>
    <t>FONDO</t>
  </si>
  <si>
    <t>Monto</t>
  </si>
  <si>
    <t>(Pesos)</t>
  </si>
  <si>
    <t>Impuesto Especial sobre Producción y Servicios, Gasolina y Diesel</t>
  </si>
  <si>
    <t>ANEXO II</t>
  </si>
  <si>
    <t xml:space="preserve">PORCENTAJES Y MONTOS ESTIMADOS DE PARTICIPACIONES FEDERALES CORRESPONDIENTE A </t>
  </si>
  <si>
    <t>Impuesto  Especial Sobre Producción y Servicios</t>
  </si>
  <si>
    <t>Monto (Pesos)</t>
  </si>
  <si>
    <r>
      <t xml:space="preserve">Porcentaje de Distribución
</t>
    </r>
    <r>
      <rPr>
        <sz val="11"/>
        <color theme="1"/>
        <rFont val="Calibri"/>
        <family val="2"/>
        <scheme val="minor"/>
      </rPr>
      <t>(B)</t>
    </r>
  </si>
  <si>
    <r>
      <t xml:space="preserve">Distribución a municipios
 </t>
    </r>
    <r>
      <rPr>
        <sz val="11"/>
        <color theme="1"/>
        <rFont val="Calibri"/>
        <family val="2"/>
        <scheme val="minor"/>
      </rPr>
      <t>(C ) = (A*B)</t>
    </r>
  </si>
  <si>
    <t>ISEBM 2019</t>
  </si>
  <si>
    <t>Impuesto  Sobre Automóviles Nuevos 1/</t>
  </si>
  <si>
    <t>Fondo de Compensación Impuesto Sobre Automóviles Nuevos 1/</t>
  </si>
  <si>
    <t>Impuesto  Sobre Tenencia o Uso de Vehículos (Adeudo Federal) 1/</t>
  </si>
  <si>
    <t>100% de la Recaudación del ISR que se entere a la Federación, por el Salario del Personal de las Entidades 1/</t>
  </si>
  <si>
    <t>d) Ingresos propios recaudados 2018</t>
  </si>
  <si>
    <t>e) Ingresos propios recaudados 2019</t>
  </si>
  <si>
    <t xml:space="preserve"> </t>
  </si>
  <si>
    <t>k) Número de Delegaciones</t>
  </si>
  <si>
    <t>Concepto</t>
  </si>
  <si>
    <t>VARIABLES PARA EL CÁLCULO DE PARTICIPACIONES FEDERALES</t>
  </si>
  <si>
    <t>IMPORTES DE DISTRIBUCIÓN 2021</t>
  </si>
  <si>
    <t>f) Suma (d + e)</t>
  </si>
  <si>
    <t>1) 39% POBLACIÓN (b*(C*39%))</t>
  </si>
  <si>
    <t>2) 20% Esfuerzo Recaudatorio (g*(C*20%))</t>
  </si>
  <si>
    <t>3) 17% Partes Iguales (h*(C*17%))</t>
  </si>
  <si>
    <t xml:space="preserve">i) Inversa (1/g)      </t>
  </si>
  <si>
    <t>4) 13% Inversa del Esfuerzo Recaudatorio (j*(C*13%))</t>
  </si>
  <si>
    <t>Población</t>
  </si>
  <si>
    <t>Esfuerzo recaudatorio 2019</t>
  </si>
  <si>
    <t>Delegaciones</t>
  </si>
  <si>
    <t>sub-delegaciones</t>
  </si>
  <si>
    <t>Extensión
Territorial</t>
  </si>
  <si>
    <t>Ref</t>
  </si>
  <si>
    <t>m) Número de Subdelegaciones</t>
  </si>
  <si>
    <t>n) Coeficiente de Distribución ((m/∑m)*100)</t>
  </si>
  <si>
    <t>o) Extensión Territorial</t>
  </si>
  <si>
    <t>p) Coeficiente de Distribución ((o/∑o)*100)</t>
  </si>
  <si>
    <r>
      <t>b) Coeficiente de Distribución ((a/</t>
    </r>
    <r>
      <rPr>
        <sz val="12"/>
        <rFont val="Calibri"/>
        <family val="2"/>
      </rPr>
      <t>∑a)*100)</t>
    </r>
  </si>
  <si>
    <r>
      <t>g) Coeficiente de Distribución ((f/</t>
    </r>
    <r>
      <rPr>
        <sz val="12"/>
        <rFont val="Calibri"/>
        <family val="2"/>
      </rPr>
      <t>∑f)*100)</t>
    </r>
  </si>
  <si>
    <r>
      <t>h) Coeficiente de Distribución (</t>
    </r>
    <r>
      <rPr>
        <sz val="12"/>
        <rFont val="Calibri"/>
        <family val="2"/>
      </rPr>
      <t>100%/5)</t>
    </r>
  </si>
  <si>
    <r>
      <t>l) Coeficiente de Distribución ((k/</t>
    </r>
    <r>
      <rPr>
        <sz val="12"/>
        <rFont val="Calibri"/>
        <family val="2"/>
      </rPr>
      <t>∑k)*100)</t>
    </r>
  </si>
  <si>
    <r>
      <t>Porcentaje de Distribución ((8/</t>
    </r>
    <r>
      <rPr>
        <b/>
        <sz val="12"/>
        <rFont val="Calibri"/>
        <family val="2"/>
      </rPr>
      <t>∑ 8)*100</t>
    </r>
    <r>
      <rPr>
        <b/>
        <sz val="12"/>
        <rFont val="Calibri"/>
        <family val="2"/>
        <scheme val="minor"/>
      </rPr>
      <t>)</t>
    </r>
  </si>
  <si>
    <t>8) Importe estimado a Distribuir
SUMA (1+2+3+4+5+6+7)</t>
  </si>
  <si>
    <t>1) 60% Partes Iguales (a*(C*60%))</t>
  </si>
  <si>
    <r>
      <t>a) Coeficiente de Distribución (</t>
    </r>
    <r>
      <rPr>
        <sz val="12"/>
        <rFont val="Calibri"/>
        <family val="2"/>
      </rPr>
      <t>100%/5)</t>
    </r>
  </si>
  <si>
    <t>2) 30% POBLACIÓN (b*(C*30%))</t>
  </si>
  <si>
    <r>
      <t>c) Coeficiente de Distribución ((b/</t>
    </r>
    <r>
      <rPr>
        <sz val="12"/>
        <rFont val="Calibri"/>
        <family val="2"/>
      </rPr>
      <t>∑b)*100)</t>
    </r>
  </si>
  <si>
    <t>3) 10% Esfuerzo Recaudatorio (g*(C*10%))</t>
  </si>
  <si>
    <t>4) Importe estimado a Distribuir
SUMA (1+2+3)</t>
  </si>
  <si>
    <r>
      <t>Porcentaje de Distribución ((4/</t>
    </r>
    <r>
      <rPr>
        <b/>
        <sz val="12"/>
        <rFont val="Calibri"/>
        <family val="2"/>
      </rPr>
      <t>∑ 4)*100</t>
    </r>
    <r>
      <rPr>
        <b/>
        <sz val="12"/>
        <rFont val="Calibri"/>
        <family val="2"/>
        <scheme val="minor"/>
      </rPr>
      <t>)</t>
    </r>
  </si>
  <si>
    <t>1) 70% POBLACIÓN (b*(C*70%))</t>
  </si>
  <si>
    <t>e) Suma (d + e)</t>
  </si>
  <si>
    <r>
      <t>f) Coeficiente de Distribución ((e/</t>
    </r>
    <r>
      <rPr>
        <sz val="12"/>
        <rFont val="Calibri"/>
        <family val="2"/>
      </rPr>
      <t>∑e</t>
    </r>
    <r>
      <rPr>
        <sz val="9.6"/>
        <rFont val="Calibri Light"/>
        <family val="2"/>
      </rPr>
      <t>)*100</t>
    </r>
    <r>
      <rPr>
        <sz val="12"/>
        <rFont val="Calibri"/>
        <family val="2"/>
      </rPr>
      <t>)</t>
    </r>
  </si>
  <si>
    <t>Control Vehícular 2019</t>
  </si>
  <si>
    <t>Serv. De Transito 2019</t>
  </si>
  <si>
    <t>i) Suma (g + h)</t>
  </si>
  <si>
    <r>
      <t>j) Coeficiente de Distribución ((i/</t>
    </r>
    <r>
      <rPr>
        <sz val="12"/>
        <rFont val="Calibri"/>
        <family val="2"/>
      </rPr>
      <t>∑i)*100)</t>
    </r>
  </si>
  <si>
    <t>4) Importe estimado a Distribuir
     SUMA (1+2+3)</t>
  </si>
  <si>
    <t>Monto 
(Pesos)</t>
  </si>
  <si>
    <t>Monto
(Pesos)</t>
  </si>
  <si>
    <t>2) Importe estimado a Distribuir  (b*(C*100%))</t>
  </si>
  <si>
    <t>1) ISAN</t>
  </si>
  <si>
    <r>
      <t>Porcentaje de Distribución ((2/</t>
    </r>
    <r>
      <rPr>
        <b/>
        <sz val="12"/>
        <rFont val="Calibri"/>
        <family val="2"/>
      </rPr>
      <t>∑ 2)*100</t>
    </r>
    <r>
      <rPr>
        <b/>
        <sz val="12"/>
        <rFont val="Calibri"/>
        <family val="2"/>
        <scheme val="minor"/>
      </rPr>
      <t>)</t>
    </r>
  </si>
  <si>
    <t>1) ISTV (Adeudo Federal)</t>
  </si>
  <si>
    <t>TENENCIA</t>
  </si>
  <si>
    <t>LOS MUNICIPIOS PARA EL EJERCICIO FISCAL 2022</t>
  </si>
  <si>
    <t>Tabla 1. VARIABLES, COEFICIENTES Y PORCENTAJE DE DISTRIBUCIÓN A LOS MUNICIPIOS DEL PRESUPUESTO DEL 
FONDO GENERAL  DE PARTICIPACIONES PARA EL EJERCICIO FISCAL 2022</t>
  </si>
  <si>
    <t>Tabla 2. VARIABLES, COEFICIENTES Y PORCENTAJE DE DISTRIBUCIÓN A LOS MUNICIPIOS DEL PRESUPUESTO DEL 
IMPUESTO ESPECIAL SOBRE LA PRODUCCIÓN Y SERVICIOS- BEBUDAS, CERVEZAS Y TABACOS LABRADOS PARA EL EJERCICIO FISCAL 2022</t>
  </si>
  <si>
    <t>Tabla 3. VARIABLES, COEFICIENTES Y PORCENTAJE DE DISTRIBUCIÓN A LOS MUNICIPIOS DEL PRESUPUESTO DEL 
FONDO DE FOMENTO MUNICIPAL PARA EL EJERCICIO FISCAL 2022</t>
  </si>
  <si>
    <t>Tabla 4. VARIABLES, COEFICIENTES Y PORCENTAJE DE DISTRIBUCIÓN A LOS MUNICIPIOS DEL PRESUPUESTO DEL 
FONDO DE FISCALIZACIÓN Y RECAUDACIÓN DEL EJERCICIO FISCAL 2022</t>
  </si>
  <si>
    <t>Tabla 5. VARIABLES, COEFICIENTES Y PORCENTAJE DE DISTRIBUCIÓN A LOS MUNICIPIOS DEL PRESUPUESTO DEL 
IMPUESTO ESPECIAL SOBRE LA PRODUCCIÓN Y SERVICIOS A LA VENTA FINAL DE GASOLINA Y DIESEL DEL EJERCICIO FISCAL 2022</t>
  </si>
  <si>
    <t>Tabla 6. VARIABLES, COEFICIENTES Y PORCENTAJE DE DISTRIBUCIÓN A LOS MUNICIPIOS DEL PRESUPUESTO DEL 
IMPUESTO SOBRE AUTOMOVILES NUEVOS DEL EJERCICIO FISCAL 2022</t>
  </si>
  <si>
    <t>Tabla 7. VARIABLES, COEFICIENTES Y PORCENTAJE DE DISTRIBUCIÓN A LOS MUNICIPIOS DEL PRESUPUESTO DEL 
FONDO DE COMPENSACIÓN DEL IMPUESTO SOBRE AUTOMOVILES NUEVOS DEL EJERCICIO FISCAL 2022</t>
  </si>
  <si>
    <t>Esfuerzo recaudatorio 2020</t>
  </si>
  <si>
    <t>Impuestos</t>
  </si>
  <si>
    <t>Derechos</t>
  </si>
  <si>
    <t>Productos</t>
  </si>
  <si>
    <t>Aprovechamientos</t>
  </si>
  <si>
    <t>Contribuciones de mejoras</t>
  </si>
  <si>
    <t>ISAN 2020</t>
  </si>
  <si>
    <t>ISTV 2020</t>
  </si>
  <si>
    <t>ISEBM 2020</t>
  </si>
  <si>
    <t>Control Vehícular 2020</t>
  </si>
  <si>
    <t>Serv. De Transito 2020</t>
  </si>
  <si>
    <t>a) Censo de Población y vivienda 2020</t>
  </si>
  <si>
    <t>d) Ingresos propios recaudados 2019</t>
  </si>
  <si>
    <t>e) Ingresos propios recaudados 2020</t>
  </si>
  <si>
    <r>
      <t xml:space="preserve">Fondo General de Participaciones 2022
</t>
    </r>
    <r>
      <rPr>
        <sz val="11"/>
        <rFont val="Calibri"/>
        <family val="2"/>
        <scheme val="minor"/>
      </rPr>
      <t>(A)</t>
    </r>
  </si>
  <si>
    <r>
      <t xml:space="preserve">ISAN 2022
</t>
    </r>
    <r>
      <rPr>
        <sz val="11"/>
        <rFont val="Calibri"/>
        <family val="2"/>
        <scheme val="minor"/>
      </rPr>
      <t>(A)</t>
    </r>
  </si>
  <si>
    <r>
      <t xml:space="preserve">ISTV (Adeudo Federal) 
2022
</t>
    </r>
    <r>
      <rPr>
        <sz val="11"/>
        <rFont val="Calibri"/>
        <family val="2"/>
        <scheme val="minor"/>
      </rPr>
      <t>(A)</t>
    </r>
  </si>
  <si>
    <r>
      <t xml:space="preserve">Compensación ISAN 2022
</t>
    </r>
    <r>
      <rPr>
        <sz val="11"/>
        <rFont val="Calibri"/>
        <family val="2"/>
        <scheme val="minor"/>
      </rPr>
      <t>(A)</t>
    </r>
  </si>
  <si>
    <t>Art. 126 ISR</t>
  </si>
  <si>
    <t>1) 100% ISR</t>
  </si>
  <si>
    <t>1) 80% Partes Iguales (a*(C*80%))</t>
  </si>
  <si>
    <t>2) 20% Esfuerzo Recaudatorio (e*(C*20%))</t>
  </si>
  <si>
    <t>d) Suma (b + c)</t>
  </si>
  <si>
    <r>
      <t>e) Coeficiente de Distribución ((d/</t>
    </r>
    <r>
      <rPr>
        <sz val="12"/>
        <rFont val="Calibri"/>
        <family val="2"/>
      </rPr>
      <t>∑d)*100)</t>
    </r>
  </si>
  <si>
    <t>3) Importe estimado a Distribuir
SUMA (1+2)</t>
  </si>
  <si>
    <r>
      <t>Porcentaje de Distribución ((3/</t>
    </r>
    <r>
      <rPr>
        <b/>
        <sz val="12"/>
        <rFont val="Calibri"/>
        <family val="2"/>
      </rPr>
      <t>∑ 3)*100</t>
    </r>
    <r>
      <rPr>
        <b/>
        <sz val="12"/>
        <rFont val="Calibri"/>
        <family val="2"/>
        <scheme val="minor"/>
      </rPr>
      <t>)</t>
    </r>
  </si>
  <si>
    <t>b) Ingresos propios recaudados 2019</t>
  </si>
  <si>
    <t>c) Ingresos propios recaudados 2020</t>
  </si>
  <si>
    <t>a) recaudación recibida en el ejercicio fiscal 2021</t>
  </si>
  <si>
    <t>Tabla 10. VARIABLES, COEFICIENTES Y PORCENTAJE DE DISTRIBUCIÓN A LOS MUNICIPIOS DEL PRESUPUESTO DEL ARTÍCULO 126 ISR ENAJENACIÓN DE BIENES INMUEBLES PARA EL EJERCICIO FISCAL 2022</t>
  </si>
  <si>
    <t>Tabla 8. VARIABLES, COEFICIENTES Y PORCENTAJE DE DISTRIBUCIÓN A LOS MUNICIPIOS DEL PRESUPUESTO DEL 
IMPUESTO SOBRE TENENCIA O USO DE VEHÍCULOS (ADEUDO FEDERAL) PARA EL EJERCICIO FISCAL 2022</t>
  </si>
  <si>
    <t xml:space="preserve">Tabla 9. VARIABLES, COEFICIENTES Y PORCENTAJE DE DISTRIBUCIÓN A LOS MUNICIPIOS DEL PRESUPUESTO DEL 100% DE LA RECAUDACIÓN DEL ISR QUE SE ENTERE A LA FERACIÓN, POR EL SALARIO DE PERSONAL PARA EL EJERCICIO FISCAL 2022
</t>
  </si>
  <si>
    <r>
      <t xml:space="preserve">IESPS-Bebidas, Cervezas y Tabaco Labrado 2022
</t>
    </r>
    <r>
      <rPr>
        <sz val="11"/>
        <rFont val="Calibri"/>
        <family val="2"/>
        <scheme val="minor"/>
      </rPr>
      <t>(A)</t>
    </r>
  </si>
  <si>
    <r>
      <t xml:space="preserve">Fondo de Fomento Municipal 2022
</t>
    </r>
    <r>
      <rPr>
        <sz val="11"/>
        <rFont val="Calibri"/>
        <family val="2"/>
        <scheme val="minor"/>
      </rPr>
      <t>(A)</t>
    </r>
  </si>
  <si>
    <t>b) Censo de Población y vivienda 2020</t>
  </si>
  <si>
    <t>g) Servicios de Transito y Control Vehícular 2019</t>
  </si>
  <si>
    <t>h) Servicios de Transito y Control Vehícular 2020</t>
  </si>
  <si>
    <r>
      <t xml:space="preserve">IEPS-Gasolina 2022
</t>
    </r>
    <r>
      <rPr>
        <sz val="11"/>
        <rFont val="Calibri"/>
        <family val="2"/>
        <scheme val="minor"/>
      </rPr>
      <t>(A)</t>
    </r>
  </si>
  <si>
    <t>c) IEBM 2019</t>
  </si>
  <si>
    <t>d) IEBM 2020</t>
  </si>
  <si>
    <t>2) ESFUERZO RECAUDATORIO 2019</t>
  </si>
  <si>
    <t>3) ESFUERZO RECAUDATORIO 2020</t>
  </si>
  <si>
    <t>CONCEPTO</t>
  </si>
  <si>
    <t>Auditoria Superior del Estado, Estados Financieros incluidos en cuenta pública de los Municipios 2020</t>
  </si>
  <si>
    <t>Secretaría de Turismo, Economía y Sustentabilidad (SETUES), Baja California Sur, Información Estratégica 2021; Obtenido de:https://biblioteca.setuesbcs.gob.mx/2021/04/15/informacion-estrategica-2021/</t>
  </si>
  <si>
    <t>*Para el Municipio de Los Cabos se descontaron conceptos de dotación y reposición de placas y licencias de conducir 2019 y 2020, derivado que el Municipio no cuenta con la facultad de cobro.</t>
  </si>
  <si>
    <t>Panorama Sociodemográfico de Baja California Sur 2020, INEGI, Obtenido de: https://www.inegi.org.mx/contenidos/productos/prod_serv/contenidos/espanol/bvinegi/productos/nueva_estruc/702825197742.pdf</t>
  </si>
  <si>
    <t>4 y 5</t>
  </si>
  <si>
    <t>1 y 6</t>
  </si>
  <si>
    <t>Secretaría de Finanzas y Administración, Cuentas Públicas 2019 y 2020.</t>
  </si>
  <si>
    <t>Auditoria Superior del Estado, Estados Financieros incluidos en cuenta pública de los Municipios 2019.</t>
  </si>
  <si>
    <t>2, 3, 10 y 12</t>
  </si>
  <si>
    <t>7, 8, 9, 11, 13 y 14</t>
  </si>
  <si>
    <t>5) 5% Proporción Delegaciones (l*(C*5%))</t>
  </si>
  <si>
    <t>6) 5% Proporción SubDelegaciones (n*(C*5%))</t>
  </si>
  <si>
    <t>7) 1% Proporción Extensión Territorial (p*(C*1%))</t>
  </si>
  <si>
    <t>2) 20% IEBM (f*(C*20%))</t>
  </si>
  <si>
    <t>3) 10% Serv. Transito y Control Vehícular (j*(C*10%))</t>
  </si>
  <si>
    <t>a) ISAN 2020</t>
  </si>
  <si>
    <t>a) ISTV 2020</t>
  </si>
  <si>
    <t>ISR 
Art.3-B LCF</t>
  </si>
  <si>
    <t>ISR
Art. 126</t>
  </si>
  <si>
    <t>Artículo 126 de la Ley de ISR</t>
  </si>
  <si>
    <r>
      <t xml:space="preserve">Fondo de Fiscalización y Recaudación 2022
</t>
    </r>
    <r>
      <rPr>
        <sz val="11"/>
        <rFont val="Calibri"/>
        <family val="2"/>
        <scheme val="minor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</si>
</sst>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_-;\-* #,##0_-;_-* &quot;-&quot;??_-;_-@_-"/>
    <numFmt numFmtId="165" formatCode="0.000000%"/>
    <numFmt numFmtId="166" formatCode="0.0000%"/>
    <numFmt numFmtId="167" formatCode="0.0000000%"/>
    <numFmt numFmtId="168" formatCode="0.00000%"/>
    <numFmt numFmtId="169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 Light"/>
      <family val="2"/>
    </font>
    <font>
      <b/>
      <sz val="14"/>
      <name val="Calibri"/>
      <family val="2"/>
      <scheme val="minor"/>
    </font>
    <font>
      <b/>
      <sz val="14"/>
      <name val="Calibri Light"/>
      <family val="2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Light"/>
      <family val="2"/>
    </font>
    <font>
      <sz val="12"/>
      <name val="Calibri"/>
      <family val="2"/>
    </font>
    <font>
      <b/>
      <sz val="12"/>
      <name val="Calibri"/>
      <family val="2"/>
    </font>
    <font>
      <sz val="9.6"/>
      <name val="Calibri Light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right" vertical="top"/>
    </xf>
    <xf numFmtId="164" fontId="0" fillId="0" borderId="0" xfId="1" applyNumberFormat="1" applyFont="1"/>
    <xf numFmtId="9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43" fontId="7" fillId="0" borderId="0" xfId="1" applyFont="1"/>
    <xf numFmtId="43" fontId="6" fillId="0" borderId="0" xfId="1" applyFont="1"/>
    <xf numFmtId="43" fontId="6" fillId="0" borderId="0" xfId="0" applyNumberFormat="1" applyFont="1"/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65" fontId="11" fillId="0" borderId="0" xfId="0" applyNumberFormat="1" applyFont="1"/>
    <xf numFmtId="3" fontId="11" fillId="0" borderId="0" xfId="0" applyNumberFormat="1" applyFont="1"/>
    <xf numFmtId="0" fontId="12" fillId="0" borderId="0" xfId="0" applyFont="1"/>
    <xf numFmtId="43" fontId="14" fillId="0" borderId="0" xfId="1" applyFont="1"/>
    <xf numFmtId="43" fontId="14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9" fontId="16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0" xfId="0" applyFont="1" applyBorder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164" fontId="16" fillId="0" borderId="0" xfId="1" applyNumberFormat="1" applyFont="1"/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20" fillId="0" borderId="0" xfId="0" applyFont="1" applyAlignment="1">
      <alignment horizontal="left" vertical="top"/>
    </xf>
    <xf numFmtId="164" fontId="19" fillId="0" borderId="0" xfId="1" applyNumberFormat="1" applyFont="1"/>
    <xf numFmtId="164" fontId="19" fillId="0" borderId="0" xfId="0" applyNumberFormat="1" applyFont="1"/>
    <xf numFmtId="0" fontId="15" fillId="0" borderId="0" xfId="0" applyFont="1" applyAlignment="1">
      <alignment horizontal="left" indent="3"/>
    </xf>
    <xf numFmtId="3" fontId="18" fillId="0" borderId="0" xfId="0" applyNumberFormat="1" applyFont="1"/>
    <xf numFmtId="167" fontId="18" fillId="0" borderId="0" xfId="2" applyNumberFormat="1" applyFont="1"/>
    <xf numFmtId="165" fontId="18" fillId="0" borderId="0" xfId="2" applyNumberFormat="1" applyFont="1"/>
    <xf numFmtId="0" fontId="19" fillId="0" borderId="0" xfId="0" applyFont="1"/>
    <xf numFmtId="0" fontId="18" fillId="0" borderId="0" xfId="0" applyFont="1" applyAlignment="1">
      <alignment horizontal="left" indent="3"/>
    </xf>
    <xf numFmtId="43" fontId="18" fillId="0" borderId="0" xfId="1" applyFont="1"/>
    <xf numFmtId="166" fontId="18" fillId="0" borderId="0" xfId="0" applyNumberFormat="1" applyFont="1"/>
    <xf numFmtId="166" fontId="18" fillId="0" borderId="0" xfId="2" applyNumberFormat="1" applyFont="1"/>
    <xf numFmtId="165" fontId="18" fillId="0" borderId="0" xfId="0" applyNumberFormat="1" applyFont="1"/>
    <xf numFmtId="1" fontId="18" fillId="0" borderId="0" xfId="0" applyNumberFormat="1" applyFont="1"/>
    <xf numFmtId="0" fontId="18" fillId="0" borderId="0" xfId="0" applyFont="1" applyAlignment="1">
      <alignment horizontal="left" indent="2"/>
    </xf>
    <xf numFmtId="43" fontId="18" fillId="0" borderId="0" xfId="0" applyNumberFormat="1" applyFont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horizontal="center" vertical="center"/>
    </xf>
    <xf numFmtId="165" fontId="19" fillId="0" borderId="0" xfId="2" applyNumberFormat="1" applyFont="1" applyAlignment="1">
      <alignment horizontal="right" vertical="center"/>
    </xf>
    <xf numFmtId="9" fontId="16" fillId="0" borderId="0" xfId="2" applyNumberFormat="1" applyFont="1" applyAlignment="1">
      <alignment horizontal="center"/>
    </xf>
    <xf numFmtId="164" fontId="18" fillId="0" borderId="0" xfId="1" applyNumberFormat="1" applyFont="1"/>
    <xf numFmtId="0" fontId="18" fillId="3" borderId="0" xfId="0" applyFont="1" applyFill="1"/>
    <xf numFmtId="9" fontId="0" fillId="0" borderId="0" xfId="2" applyFont="1"/>
    <xf numFmtId="166" fontId="0" fillId="0" borderId="0" xfId="2" applyNumberFormat="1" applyFont="1"/>
    <xf numFmtId="43" fontId="0" fillId="0" borderId="0" xfId="1" applyFont="1" applyAlignment="1">
      <alignment horizontal="center"/>
    </xf>
    <xf numFmtId="168" fontId="0" fillId="0" borderId="0" xfId="2" applyNumberFormat="1" applyFont="1"/>
    <xf numFmtId="168" fontId="0" fillId="0" borderId="0" xfId="0" applyNumberFormat="1"/>
    <xf numFmtId="164" fontId="0" fillId="0" borderId="0" xfId="0" applyNumberFormat="1"/>
    <xf numFmtId="167" fontId="0" fillId="0" borderId="0" xfId="2" applyNumberFormat="1" applyFont="1"/>
    <xf numFmtId="43" fontId="2" fillId="4" borderId="0" xfId="1" applyFont="1" applyFill="1"/>
    <xf numFmtId="43" fontId="2" fillId="4" borderId="0" xfId="1" applyFont="1" applyFill="1" applyAlignment="1">
      <alignment horizontal="center"/>
    </xf>
    <xf numFmtId="0" fontId="0" fillId="0" borderId="0" xfId="0" applyFill="1"/>
    <xf numFmtId="43" fontId="19" fillId="0" borderId="0" xfId="0" applyNumberFormat="1" applyFont="1"/>
    <xf numFmtId="43" fontId="19" fillId="0" borderId="0" xfId="1" applyFont="1"/>
    <xf numFmtId="0" fontId="25" fillId="3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43" fontId="0" fillId="0" borderId="0" xfId="1" applyFont="1" applyFill="1"/>
    <xf numFmtId="0" fontId="0" fillId="0" borderId="0" xfId="0" applyFill="1" applyAlignment="1"/>
    <xf numFmtId="0" fontId="2" fillId="0" borderId="0" xfId="0" applyFont="1" applyAlignment="1"/>
    <xf numFmtId="169" fontId="0" fillId="0" borderId="0" xfId="1" applyNumberFormat="1" applyFont="1" applyFill="1"/>
    <xf numFmtId="3" fontId="26" fillId="0" borderId="0" xfId="0" applyNumberFormat="1" applyFont="1"/>
    <xf numFmtId="0" fontId="0" fillId="0" borderId="0" xfId="0" applyAlignment="1">
      <alignment horizontal="left" wrapText="1"/>
    </xf>
    <xf numFmtId="0" fontId="24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11"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</dxf>
    <dxf>
      <font>
        <strike val="0"/>
        <outline val="0"/>
        <shadow val="0"/>
        <u val="none"/>
        <vertAlign val="baseline"/>
        <sz val="12"/>
        <color auto="1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5" formatCode="_-* #,##0.00_-;\-* #,##0.00_-;_-* &quot;-&quot;??_-;_-@_-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bottom" textRotation="0" wrapText="1" indent="0" justifyLastLine="0" shrinkToFit="0" readingOrder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a28" displayName="Tabla28" ref="J4:M16" totalsRowCount="1" headerRowDxfId="110">
  <tableColumns count="4">
    <tableColumn id="1" xr3:uid="{00000000-0010-0000-0000-000001000000}" name="FONDO" totalsRowLabel="Total"/>
    <tableColumn id="4" xr3:uid="{00000000-0010-0000-0000-000004000000}" name="Estado" totalsRowFunction="sum" dataDxfId="109" totalsRowDxfId="108"/>
    <tableColumn id="5" xr3:uid="{00000000-0010-0000-0000-000005000000}" name="Porcentaje de Distribución "/>
    <tableColumn id="6" xr3:uid="{00000000-0010-0000-0000-000006000000}" name="Importe" totalsRowFunction="sum" totalsRowDxfId="107"/>
  </tableColumns>
  <tableStyleInfo name="TableStyleLight1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abla3510121314" displayName="Tabla3510121314" ref="B10:H18" totalsRowShown="0" headerRowDxfId="44" dataDxfId="43">
  <tableColumns count="7">
    <tableColumn id="1" xr3:uid="{00000000-0010-0000-0900-000001000000}" name="Concepto" dataDxfId="42"/>
    <tableColumn id="4" xr3:uid="{00000000-0010-0000-0900-000004000000}" name="LA PAZ" dataDxfId="41"/>
    <tableColumn id="5" xr3:uid="{00000000-0010-0000-0900-000005000000}" name="COMONDÚ" dataDxfId="40"/>
    <tableColumn id="6" xr3:uid="{00000000-0010-0000-0900-000006000000}" name="MULEGÉ" dataDxfId="39"/>
    <tableColumn id="7" xr3:uid="{00000000-0010-0000-0900-000007000000}" name="LOS CABOS" dataDxfId="38"/>
    <tableColumn id="8" xr3:uid="{00000000-0010-0000-0900-000008000000}" name="LORETO" dataDxfId="37"/>
    <tableColumn id="9" xr3:uid="{00000000-0010-0000-0900-000009000000}" name="SUMA" dataDxfId="36"/>
  </tableColumns>
  <tableStyleInfo name="TableStyleLight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A000000}" name="Tabla351012131415" displayName="Tabla351012131415" ref="B10:H18" totalsRowShown="0" headerRowDxfId="35" dataDxfId="34">
  <tableColumns count="7">
    <tableColumn id="1" xr3:uid="{00000000-0010-0000-0A00-000001000000}" name="Concepto" dataDxfId="33"/>
    <tableColumn id="4" xr3:uid="{00000000-0010-0000-0A00-000004000000}" name="LA PAZ" dataDxfId="32"/>
    <tableColumn id="5" xr3:uid="{00000000-0010-0000-0A00-000005000000}" name="COMONDÚ" dataDxfId="31"/>
    <tableColumn id="6" xr3:uid="{00000000-0010-0000-0A00-000006000000}" name="MULEGÉ" dataDxfId="30"/>
    <tableColumn id="7" xr3:uid="{00000000-0010-0000-0A00-000007000000}" name="LOS CABOS" dataDxfId="29"/>
    <tableColumn id="8" xr3:uid="{00000000-0010-0000-0A00-000008000000}" name="LORETO" dataDxfId="28"/>
    <tableColumn id="9" xr3:uid="{00000000-0010-0000-0A00-000009000000}" name="SUMA" dataDxfId="27"/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Tabla35101213141516" displayName="Tabla35101213141516" ref="B10:H18" totalsRowShown="0" headerRowDxfId="26" dataDxfId="25">
  <tableColumns count="7">
    <tableColumn id="1" xr3:uid="{00000000-0010-0000-0B00-000001000000}" name="Concepto" dataDxfId="24"/>
    <tableColumn id="4" xr3:uid="{00000000-0010-0000-0B00-000004000000}" name="LA PAZ" dataDxfId="23"/>
    <tableColumn id="5" xr3:uid="{00000000-0010-0000-0B00-000005000000}" name="COMONDÚ" dataDxfId="22"/>
    <tableColumn id="6" xr3:uid="{00000000-0010-0000-0B00-000006000000}" name="MULEGÉ" dataDxfId="21"/>
    <tableColumn id="7" xr3:uid="{00000000-0010-0000-0B00-000007000000}" name="LOS CABOS" dataDxfId="20"/>
    <tableColumn id="8" xr3:uid="{00000000-0010-0000-0B00-000008000000}" name="LORETO" dataDxfId="19"/>
    <tableColumn id="9" xr3:uid="{00000000-0010-0000-0B00-000009000000}" name="SUMA" dataDxfId="18"/>
  </tableColumns>
  <tableStyleInfo name="TableStyleLight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351012131415162" displayName="Tabla351012131415162" ref="B10:H18" totalsRowShown="0" headerRowDxfId="17" dataDxfId="16">
  <tableColumns count="7">
    <tableColumn id="1" xr3:uid="{00000000-0010-0000-0C00-000001000000}" name="Concepto" dataDxfId="15"/>
    <tableColumn id="4" xr3:uid="{00000000-0010-0000-0C00-000004000000}" name="LA PAZ" dataDxfId="14"/>
    <tableColumn id="5" xr3:uid="{00000000-0010-0000-0C00-000005000000}" name="COMONDÚ" dataDxfId="13"/>
    <tableColumn id="6" xr3:uid="{00000000-0010-0000-0C00-000006000000}" name="MULEGÉ" dataDxfId="12"/>
    <tableColumn id="7" xr3:uid="{00000000-0010-0000-0C00-000007000000}" name="LOS CABOS" dataDxfId="11"/>
    <tableColumn id="8" xr3:uid="{00000000-0010-0000-0C00-000008000000}" name="LORETO" dataDxfId="10"/>
    <tableColumn id="9" xr3:uid="{00000000-0010-0000-0C00-000009000000}" name="SUMA" dataDxfId="9"/>
  </tableColumns>
  <tableStyleInfo name="TableStyleLight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D000000}" name="Tabla3510345" displayName="Tabla3510345" ref="B10:H25" totalsRowShown="0" headerRowDxfId="8" dataDxfId="7">
  <tableColumns count="7">
    <tableColumn id="1" xr3:uid="{00000000-0010-0000-0D00-000001000000}" name="Concepto" dataDxfId="6"/>
    <tableColumn id="4" xr3:uid="{00000000-0010-0000-0D00-000004000000}" name="LA PAZ" dataDxfId="5"/>
    <tableColumn id="5" xr3:uid="{00000000-0010-0000-0D00-000005000000}" name="COMONDÚ" dataDxfId="4"/>
    <tableColumn id="6" xr3:uid="{00000000-0010-0000-0D00-000006000000}" name="MULEGÉ" dataDxfId="3"/>
    <tableColumn id="7" xr3:uid="{00000000-0010-0000-0D00-000007000000}" name="LOS CABOS" dataDxfId="2"/>
    <tableColumn id="8" xr3:uid="{00000000-0010-0000-0D00-000008000000}" name="LORETO" dataDxfId="1"/>
    <tableColumn id="9" xr3:uid="{00000000-0010-0000-0D00-000009000000}" name="SUMA" dataDxfId="0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a8" displayName="Tabla8" ref="B4:H18" totalsRowShown="0" headerRowDxfId="106">
  <tableColumns count="7">
    <tableColumn id="1" xr3:uid="{00000000-0010-0000-0100-000001000000}" name="Concepto"/>
    <tableColumn id="2" xr3:uid="{00000000-0010-0000-0100-000002000000}" name="LA PAZ" dataCellStyle="Millares"/>
    <tableColumn id="3" xr3:uid="{00000000-0010-0000-0100-000003000000}" name="COMONDU" dataCellStyle="Millares"/>
    <tableColumn id="4" xr3:uid="{00000000-0010-0000-0100-000004000000}" name="MULEGE" dataCellStyle="Millares"/>
    <tableColumn id="5" xr3:uid="{00000000-0010-0000-0100-000005000000}" name="LOS CABOS" dataCellStyle="Millares"/>
    <tableColumn id="6" xr3:uid="{00000000-0010-0000-0100-000006000000}" name="LORETO" dataCellStyle="Millares"/>
    <tableColumn id="7" xr3:uid="{00000000-0010-0000-0100-000007000000}" name="Total" dataCellStyle="Millares">
      <calculatedColumnFormula>SUM(C5:G5)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B31:H37" totalsRowShown="0" headerRowDxfId="105" dataDxfId="104" dataCellStyle="Millares">
  <tableColumns count="7">
    <tableColumn id="1" xr3:uid="{00000000-0010-0000-0200-000001000000}" name="CONCEPTO"/>
    <tableColumn id="2" xr3:uid="{00000000-0010-0000-0200-000002000000}" name="LA PAZ" dataDxfId="103" dataCellStyle="Millares"/>
    <tableColumn id="3" xr3:uid="{00000000-0010-0000-0200-000003000000}" name="COMONDU" dataDxfId="102" dataCellStyle="Millares"/>
    <tableColumn id="4" xr3:uid="{00000000-0010-0000-0200-000004000000}" name="MULEGE" dataDxfId="101" dataCellStyle="Millares"/>
    <tableColumn id="5" xr3:uid="{00000000-0010-0000-0200-000005000000}" name="LOS CABOS" dataDxfId="100" dataCellStyle="Millares"/>
    <tableColumn id="6" xr3:uid="{00000000-0010-0000-0200-000006000000}" name="LORETO" dataDxfId="99" dataCellStyle="Millares"/>
    <tableColumn id="7" xr3:uid="{00000000-0010-0000-0200-000007000000}" name="Total" dataDxfId="98" dataCellStyle="Millares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6" displayName="Tabla6" ref="B41:H47" totalsRowShown="0" headerRowDxfId="97" dataDxfId="96" dataCellStyle="Millares">
  <tableColumns count="7">
    <tableColumn id="1" xr3:uid="{00000000-0010-0000-0300-000001000000}" name="CONCEPTO"/>
    <tableColumn id="2" xr3:uid="{00000000-0010-0000-0300-000002000000}" name="LA PAZ" dataDxfId="95" dataCellStyle="Millares"/>
    <tableColumn id="3" xr3:uid="{00000000-0010-0000-0300-000003000000}" name="COMONDU" dataDxfId="94" dataCellStyle="Millares"/>
    <tableColumn id="4" xr3:uid="{00000000-0010-0000-0300-000004000000}" name="MULEGE" dataDxfId="93" dataCellStyle="Millares"/>
    <tableColumn id="5" xr3:uid="{00000000-0010-0000-0300-000005000000}" name="LOS CABOS" dataDxfId="92" dataCellStyle="Millares"/>
    <tableColumn id="6" xr3:uid="{00000000-0010-0000-0300-000006000000}" name="LORETO" dataDxfId="91" dataCellStyle="Millares"/>
    <tableColumn id="7" xr3:uid="{00000000-0010-0000-0300-000007000000}" name="Total" dataDxfId="90" dataCellStyle="Millares"/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35" displayName="Tabla35" ref="B10:H43" totalsRowShown="0" headerRowDxfId="89" dataDxfId="88">
  <tableColumns count="7">
    <tableColumn id="1" xr3:uid="{00000000-0010-0000-0400-000001000000}" name="Concepto" dataDxfId="87"/>
    <tableColumn id="4" xr3:uid="{00000000-0010-0000-0400-000004000000}" name="LA PAZ" dataDxfId="86"/>
    <tableColumn id="5" xr3:uid="{00000000-0010-0000-0400-000005000000}" name="COMONDÚ" dataDxfId="85"/>
    <tableColumn id="6" xr3:uid="{00000000-0010-0000-0400-000006000000}" name="MULEGÉ" dataDxfId="84"/>
    <tableColumn id="7" xr3:uid="{00000000-0010-0000-0400-000007000000}" name="LOS CABOS" dataDxfId="83"/>
    <tableColumn id="8" xr3:uid="{00000000-0010-0000-0400-000008000000}" name="LORETO" dataDxfId="82"/>
    <tableColumn id="9" xr3:uid="{00000000-0010-0000-0400-000009000000}" name="SUMA" dataDxfId="81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351011" displayName="Tabla351011" ref="B10:H43" totalsRowShown="0" headerRowDxfId="80" dataDxfId="79">
  <tableColumns count="7">
    <tableColumn id="1" xr3:uid="{00000000-0010-0000-0500-000001000000}" name="Concepto" dataDxfId="78"/>
    <tableColumn id="4" xr3:uid="{00000000-0010-0000-0500-000004000000}" name="LA PAZ" dataDxfId="77"/>
    <tableColumn id="5" xr3:uid="{00000000-0010-0000-0500-000005000000}" name="COMONDÚ" dataDxfId="76"/>
    <tableColumn id="6" xr3:uid="{00000000-0010-0000-0500-000006000000}" name="MULEGÉ" dataDxfId="75"/>
    <tableColumn id="7" xr3:uid="{00000000-0010-0000-0500-000007000000}" name="LOS CABOS" dataDxfId="74"/>
    <tableColumn id="8" xr3:uid="{00000000-0010-0000-0500-000008000000}" name="LORETO" dataDxfId="73"/>
    <tableColumn id="9" xr3:uid="{00000000-0010-0000-0500-000009000000}" name="SUMA" dataDxfId="72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3510" displayName="Tabla3510" ref="B10:H27" totalsRowShown="0" headerRowDxfId="71" dataDxfId="70">
  <tableColumns count="7">
    <tableColumn id="1" xr3:uid="{00000000-0010-0000-0600-000001000000}" name="Concepto" dataDxfId="69"/>
    <tableColumn id="4" xr3:uid="{00000000-0010-0000-0600-000004000000}" name="LA PAZ" dataDxfId="68"/>
    <tableColumn id="5" xr3:uid="{00000000-0010-0000-0600-000005000000}" name="COMONDÚ" dataDxfId="67"/>
    <tableColumn id="6" xr3:uid="{00000000-0010-0000-0600-000006000000}" name="MULEGÉ" dataDxfId="66"/>
    <tableColumn id="7" xr3:uid="{00000000-0010-0000-0600-000007000000}" name="LOS CABOS" dataDxfId="65"/>
    <tableColumn id="8" xr3:uid="{00000000-0010-0000-0600-000008000000}" name="LORETO" dataDxfId="64"/>
    <tableColumn id="9" xr3:uid="{00000000-0010-0000-0600-000009000000}" name="SUMA" dataDxfId="63"/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a351012" displayName="Tabla351012" ref="B10:H27" totalsRowShown="0" headerRowDxfId="62" dataDxfId="61">
  <tableColumns count="7">
    <tableColumn id="1" xr3:uid="{00000000-0010-0000-0700-000001000000}" name="Concepto" dataDxfId="60"/>
    <tableColumn id="4" xr3:uid="{00000000-0010-0000-0700-000004000000}" name="LA PAZ" dataDxfId="59"/>
    <tableColumn id="5" xr3:uid="{00000000-0010-0000-0700-000005000000}" name="COMONDÚ" dataDxfId="58"/>
    <tableColumn id="6" xr3:uid="{00000000-0010-0000-0700-000006000000}" name="MULEGÉ" dataDxfId="57"/>
    <tableColumn id="7" xr3:uid="{00000000-0010-0000-0700-000007000000}" name="LOS CABOS" dataDxfId="56"/>
    <tableColumn id="8" xr3:uid="{00000000-0010-0000-0700-000008000000}" name="LORETO" dataDxfId="55"/>
    <tableColumn id="9" xr3:uid="{00000000-0010-0000-0700-000009000000}" name="SUMA" dataDxfId="54"/>
  </tableColumns>
  <tableStyleInfo name="TableStyleLight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a35101213" displayName="Tabla35101213" ref="B10:H30" totalsRowShown="0" headerRowDxfId="53" dataDxfId="52">
  <tableColumns count="7">
    <tableColumn id="1" xr3:uid="{00000000-0010-0000-0800-000001000000}" name="Concepto" dataDxfId="51"/>
    <tableColumn id="4" xr3:uid="{00000000-0010-0000-0800-000004000000}" name="LA PAZ" dataDxfId="50"/>
    <tableColumn id="5" xr3:uid="{00000000-0010-0000-0800-000005000000}" name="COMONDÚ" dataDxfId="49"/>
    <tableColumn id="6" xr3:uid="{00000000-0010-0000-0800-000006000000}" name="MULEGÉ" dataDxfId="48"/>
    <tableColumn id="7" xr3:uid="{00000000-0010-0000-0800-000007000000}" name="LOS CABOS" dataDxfId="47"/>
    <tableColumn id="8" xr3:uid="{00000000-0010-0000-0800-000008000000}" name="LORETO" dataDxfId="46"/>
    <tableColumn id="9" xr3:uid="{00000000-0010-0000-0800-000009000000}" name="SUMA" dataDxfId="45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"/>
  <sheetViews>
    <sheetView topLeftCell="A13" zoomScale="85" zoomScaleNormal="85" workbookViewId="0">
      <selection activeCell="A41" sqref="A41"/>
    </sheetView>
  </sheetViews>
  <sheetFormatPr baseColWidth="10" defaultRowHeight="15" x14ac:dyDescent="0.25"/>
  <cols>
    <col min="1" max="1" width="9.7109375" customWidth="1"/>
    <col min="2" max="2" width="29.42578125" customWidth="1"/>
    <col min="3" max="8" width="17.140625" customWidth="1"/>
    <col min="9" max="9" width="14.7109375" customWidth="1"/>
    <col min="10" max="10" width="28.5703125" customWidth="1"/>
    <col min="11" max="12" width="16.42578125" customWidth="1"/>
    <col min="13" max="14" width="18.28515625" customWidth="1"/>
  </cols>
  <sheetData>
    <row r="2" spans="1:13" x14ac:dyDescent="0.25">
      <c r="A2" s="88" t="s">
        <v>48</v>
      </c>
      <c r="B2" s="88"/>
      <c r="C2" s="88"/>
      <c r="D2" s="88"/>
      <c r="E2" s="88"/>
      <c r="F2" s="88"/>
      <c r="G2" s="88"/>
      <c r="H2" s="88"/>
      <c r="I2" s="82"/>
      <c r="J2" s="86" t="s">
        <v>49</v>
      </c>
      <c r="K2" s="86"/>
      <c r="L2" s="86"/>
      <c r="M2" s="86"/>
    </row>
    <row r="3" spans="1:13" x14ac:dyDescent="0.25">
      <c r="B3" s="1"/>
    </row>
    <row r="4" spans="1:13" ht="31.5" x14ac:dyDescent="0.25">
      <c r="A4" s="34" t="s">
        <v>61</v>
      </c>
      <c r="B4" s="32" t="s">
        <v>47</v>
      </c>
      <c r="C4" s="32" t="s">
        <v>0</v>
      </c>
      <c r="D4" s="32" t="s">
        <v>1</v>
      </c>
      <c r="E4" s="32" t="s">
        <v>2</v>
      </c>
      <c r="F4" s="32" t="s">
        <v>3</v>
      </c>
      <c r="G4" s="32" t="s">
        <v>4</v>
      </c>
      <c r="H4" s="32" t="s">
        <v>6</v>
      </c>
      <c r="J4" s="11" t="s">
        <v>28</v>
      </c>
      <c r="K4" s="11" t="s">
        <v>18</v>
      </c>
      <c r="L4" s="11" t="s">
        <v>19</v>
      </c>
      <c r="M4" s="11" t="s">
        <v>20</v>
      </c>
    </row>
    <row r="5" spans="1:13" x14ac:dyDescent="0.25">
      <c r="A5" s="35">
        <v>1</v>
      </c>
      <c r="B5" s="78" t="s">
        <v>56</v>
      </c>
      <c r="C5" s="79">
        <v>292241</v>
      </c>
      <c r="D5" s="79">
        <v>73021</v>
      </c>
      <c r="E5" s="79">
        <v>64022</v>
      </c>
      <c r="F5" s="79">
        <v>351111</v>
      </c>
      <c r="G5" s="79">
        <v>18052</v>
      </c>
      <c r="H5" s="79">
        <f>SUM(C5:G5)</f>
        <v>798447</v>
      </c>
      <c r="J5" t="s">
        <v>22</v>
      </c>
      <c r="K5" s="10">
        <v>4409597591</v>
      </c>
      <c r="L5" s="9">
        <v>0.24</v>
      </c>
      <c r="M5" s="6">
        <f>+K5*L5</f>
        <v>1058303421.8399999</v>
      </c>
    </row>
    <row r="6" spans="1:13" x14ac:dyDescent="0.25">
      <c r="A6" s="36">
        <v>2</v>
      </c>
      <c r="B6" s="74" t="s">
        <v>57</v>
      </c>
      <c r="C6" s="80">
        <f>C37</f>
        <v>429913282</v>
      </c>
      <c r="D6" s="80">
        <f t="shared" ref="D6:G6" si="0">D37</f>
        <v>55102338</v>
      </c>
      <c r="E6" s="80">
        <f t="shared" si="0"/>
        <v>46570622</v>
      </c>
      <c r="F6" s="80">
        <f t="shared" si="0"/>
        <v>1368623310</v>
      </c>
      <c r="G6" s="80">
        <f t="shared" si="0"/>
        <v>61578813</v>
      </c>
      <c r="H6" s="80">
        <f t="shared" ref="H6:H18" si="1">SUM(C6:G6)</f>
        <v>1961788365</v>
      </c>
      <c r="J6" t="s">
        <v>23</v>
      </c>
      <c r="K6" s="10">
        <v>225738743</v>
      </c>
      <c r="L6" s="9">
        <v>1</v>
      </c>
      <c r="M6" s="6">
        <f t="shared" ref="M6:M13" si="2">+K6*L6</f>
        <v>225738743</v>
      </c>
    </row>
    <row r="7" spans="1:13" x14ac:dyDescent="0.25">
      <c r="A7" s="37">
        <v>3</v>
      </c>
      <c r="B7" s="74" t="s">
        <v>102</v>
      </c>
      <c r="C7" s="80">
        <f>C47</f>
        <v>355856808</v>
      </c>
      <c r="D7" s="80">
        <f t="shared" ref="D7:G7" si="3">D47</f>
        <v>52463542.25</v>
      </c>
      <c r="E7" s="80">
        <f t="shared" si="3"/>
        <v>49360936</v>
      </c>
      <c r="F7" s="80">
        <f t="shared" si="3"/>
        <v>1043239777</v>
      </c>
      <c r="G7" s="80">
        <f t="shared" si="3"/>
        <v>56327659</v>
      </c>
      <c r="H7" s="80">
        <f t="shared" si="1"/>
        <v>1557248722.25</v>
      </c>
      <c r="J7" t="s">
        <v>24</v>
      </c>
      <c r="K7" s="10">
        <v>298279108</v>
      </c>
      <c r="L7" s="9">
        <v>0.2</v>
      </c>
      <c r="M7" s="6">
        <f t="shared" si="2"/>
        <v>59655821.600000001</v>
      </c>
    </row>
    <row r="8" spans="1:13" x14ac:dyDescent="0.25">
      <c r="A8" s="36">
        <v>4</v>
      </c>
      <c r="B8" s="74" t="s">
        <v>58</v>
      </c>
      <c r="C8" s="79">
        <v>7</v>
      </c>
      <c r="D8" s="79">
        <v>7</v>
      </c>
      <c r="E8" s="79">
        <v>7</v>
      </c>
      <c r="F8" s="79">
        <v>4</v>
      </c>
      <c r="G8" s="79">
        <v>0</v>
      </c>
      <c r="H8" s="79">
        <f t="shared" si="1"/>
        <v>25</v>
      </c>
      <c r="J8" t="s">
        <v>16</v>
      </c>
      <c r="K8" s="10">
        <v>183502834</v>
      </c>
      <c r="L8" s="9">
        <v>0.22</v>
      </c>
      <c r="M8" s="6">
        <f t="shared" si="2"/>
        <v>40370623.479999997</v>
      </c>
    </row>
    <row r="9" spans="1:13" x14ac:dyDescent="0.25">
      <c r="A9" s="35">
        <v>5</v>
      </c>
      <c r="B9" s="78" t="s">
        <v>59</v>
      </c>
      <c r="C9" s="79">
        <v>48</v>
      </c>
      <c r="D9" s="79">
        <v>32</v>
      </c>
      <c r="E9" s="79">
        <v>26</v>
      </c>
      <c r="F9" s="79">
        <v>55</v>
      </c>
      <c r="G9" s="79">
        <v>13</v>
      </c>
      <c r="H9" s="79">
        <f t="shared" si="1"/>
        <v>174</v>
      </c>
      <c r="J9" t="s">
        <v>25</v>
      </c>
      <c r="K9" s="10">
        <v>300628521</v>
      </c>
      <c r="L9" s="9">
        <v>0.2</v>
      </c>
      <c r="M9" s="6">
        <f t="shared" si="2"/>
        <v>60125704.200000003</v>
      </c>
    </row>
    <row r="10" spans="1:13" x14ac:dyDescent="0.25">
      <c r="A10" s="36">
        <v>6</v>
      </c>
      <c r="B10" s="81" t="s">
        <v>60</v>
      </c>
      <c r="C10" s="83">
        <v>15413.7</v>
      </c>
      <c r="D10" s="83">
        <v>18318.599999999999</v>
      </c>
      <c r="E10" s="83">
        <v>32009.9</v>
      </c>
      <c r="F10" s="83">
        <v>3751.5</v>
      </c>
      <c r="G10" s="83">
        <v>4415.6000000000004</v>
      </c>
      <c r="H10" s="80">
        <f t="shared" si="1"/>
        <v>73909.300000000017</v>
      </c>
      <c r="J10" t="s">
        <v>26</v>
      </c>
      <c r="K10" s="10">
        <v>13704204</v>
      </c>
      <c r="L10" s="9">
        <v>0.2</v>
      </c>
      <c r="M10" s="6">
        <f t="shared" si="2"/>
        <v>2740840.8000000003</v>
      </c>
    </row>
    <row r="11" spans="1:13" x14ac:dyDescent="0.25">
      <c r="A11" s="37">
        <v>7</v>
      </c>
      <c r="B11" s="81" t="s">
        <v>38</v>
      </c>
      <c r="C11" s="80">
        <v>6566919</v>
      </c>
      <c r="D11" s="80">
        <v>828701</v>
      </c>
      <c r="E11" s="80">
        <v>605368</v>
      </c>
      <c r="F11" s="80">
        <v>6349451</v>
      </c>
      <c r="G11" s="80">
        <v>206184</v>
      </c>
      <c r="H11" s="80">
        <f t="shared" si="1"/>
        <v>14556623</v>
      </c>
      <c r="J11" t="s">
        <v>17</v>
      </c>
      <c r="K11" s="10">
        <v>75860715</v>
      </c>
      <c r="L11" s="9">
        <v>0.2</v>
      </c>
      <c r="M11" s="6">
        <f t="shared" si="2"/>
        <v>15172143</v>
      </c>
    </row>
    <row r="12" spans="1:13" x14ac:dyDescent="0.25">
      <c r="A12" s="36">
        <v>8</v>
      </c>
      <c r="B12" s="81" t="s">
        <v>110</v>
      </c>
      <c r="C12" s="80">
        <v>5935218.4099999992</v>
      </c>
      <c r="D12" s="80">
        <v>784980</v>
      </c>
      <c r="E12" s="80">
        <v>699815.08</v>
      </c>
      <c r="F12" s="80">
        <v>5478814.2000000002</v>
      </c>
      <c r="G12" s="80">
        <v>154450</v>
      </c>
      <c r="H12" s="80">
        <f t="shared" si="1"/>
        <v>13053277.689999999</v>
      </c>
      <c r="J12" t="s">
        <v>27</v>
      </c>
      <c r="K12" s="10">
        <v>13861033</v>
      </c>
      <c r="L12" s="9">
        <v>0</v>
      </c>
      <c r="M12" s="6">
        <f t="shared" si="2"/>
        <v>0</v>
      </c>
    </row>
    <row r="13" spans="1:13" x14ac:dyDescent="0.25">
      <c r="A13" s="37">
        <v>9</v>
      </c>
      <c r="B13" s="81" t="s">
        <v>82</v>
      </c>
      <c r="C13" s="80">
        <v>104609000.59</v>
      </c>
      <c r="D13" s="80">
        <v>15608189.970000001</v>
      </c>
      <c r="E13" s="80">
        <v>14814428.6</v>
      </c>
      <c r="F13" s="80">
        <v>93896474.810000002</v>
      </c>
      <c r="G13" s="80">
        <v>3543812.25</v>
      </c>
      <c r="H13" s="80">
        <f>SUM(C13:G13)</f>
        <v>232471906.22</v>
      </c>
      <c r="J13" t="s">
        <v>21</v>
      </c>
      <c r="K13" s="8">
        <v>332005124</v>
      </c>
      <c r="L13" s="9">
        <f>'ISR 3-B LCF'!D8</f>
        <v>0.18643494699999999</v>
      </c>
      <c r="M13" s="6">
        <f t="shared" si="2"/>
        <v>61897357.696668424</v>
      </c>
    </row>
    <row r="14" spans="1:13" x14ac:dyDescent="0.25">
      <c r="A14" s="36">
        <v>10</v>
      </c>
      <c r="B14" t="s">
        <v>83</v>
      </c>
      <c r="C14" s="6">
        <v>0</v>
      </c>
      <c r="D14" s="6">
        <v>0</v>
      </c>
      <c r="E14" s="6">
        <v>24971</v>
      </c>
      <c r="F14" s="6">
        <f>620950</f>
        <v>620950</v>
      </c>
      <c r="G14" s="6">
        <v>0</v>
      </c>
      <c r="H14" s="6">
        <f>SUM(C14:G14)</f>
        <v>645921</v>
      </c>
      <c r="J14" t="s">
        <v>93</v>
      </c>
      <c r="K14" s="10">
        <v>323075</v>
      </c>
      <c r="L14" s="9">
        <v>0.2</v>
      </c>
      <c r="M14" s="6">
        <f>Tabla28[[#This Row],[Estado]]*Tabla28[[#This Row],[Porcentaje de Distribución ]]</f>
        <v>64615</v>
      </c>
    </row>
    <row r="15" spans="1:13" x14ac:dyDescent="0.25">
      <c r="A15" s="37">
        <v>11</v>
      </c>
      <c r="B15" t="s">
        <v>111</v>
      </c>
      <c r="C15" s="6">
        <v>77758657.620000005</v>
      </c>
      <c r="D15" s="6">
        <v>14454683</v>
      </c>
      <c r="E15" s="6">
        <v>13930521.449999999</v>
      </c>
      <c r="F15" s="6">
        <v>75656152.129999995</v>
      </c>
      <c r="G15" s="6">
        <v>3286619.25</v>
      </c>
      <c r="H15" s="6">
        <f t="shared" si="1"/>
        <v>185086633.44999999</v>
      </c>
      <c r="J15" t="s">
        <v>120</v>
      </c>
      <c r="K15" s="10">
        <v>716204956</v>
      </c>
      <c r="L15" s="9">
        <v>0.2</v>
      </c>
      <c r="M15" s="6">
        <f>Tabla28[[#This Row],[Estado]]*Tabla28[[#This Row],[Porcentaje de Distribución ]]</f>
        <v>143240991.20000002</v>
      </c>
    </row>
    <row r="16" spans="1:13" x14ac:dyDescent="0.25">
      <c r="A16" s="36">
        <v>12</v>
      </c>
      <c r="B16" t="s">
        <v>112</v>
      </c>
      <c r="C16" s="6">
        <v>0</v>
      </c>
      <c r="D16" s="6">
        <v>0</v>
      </c>
      <c r="E16" s="6">
        <v>23169</v>
      </c>
      <c r="F16" s="6">
        <v>448346</v>
      </c>
      <c r="G16" s="6">
        <v>0</v>
      </c>
      <c r="H16" s="6">
        <f t="shared" si="1"/>
        <v>471515</v>
      </c>
      <c r="J16" t="s">
        <v>6</v>
      </c>
      <c r="K16" s="10">
        <f>SUBTOTAL(109,Tabla28[Estado])</f>
        <v>6569705904</v>
      </c>
      <c r="M16" s="5">
        <f>SUBTOTAL(109,Tabla28[Importe])</f>
        <v>1667310261.8166683</v>
      </c>
    </row>
    <row r="17" spans="1:11" x14ac:dyDescent="0.25">
      <c r="A17" s="37">
        <v>13</v>
      </c>
      <c r="B17" s="74" t="s">
        <v>108</v>
      </c>
      <c r="C17" s="80">
        <v>54347344.659999996</v>
      </c>
      <c r="D17" s="80">
        <v>0</v>
      </c>
      <c r="E17" s="80">
        <v>0</v>
      </c>
      <c r="F17" s="80">
        <v>6364828</v>
      </c>
      <c r="G17" s="80">
        <v>0</v>
      </c>
      <c r="H17" s="80">
        <f t="shared" si="1"/>
        <v>60712172.659999996</v>
      </c>
    </row>
    <row r="18" spans="1:11" x14ac:dyDescent="0.25">
      <c r="A18" s="36">
        <v>14</v>
      </c>
      <c r="B18" s="74" t="s">
        <v>109</v>
      </c>
      <c r="C18" s="80">
        <v>144814.29999999999</v>
      </c>
      <c r="D18" s="80">
        <v>45871.26</v>
      </c>
      <c r="E18" s="80">
        <v>15057.02</v>
      </c>
      <c r="F18" s="80">
        <v>150757.17000000001</v>
      </c>
      <c r="G18" s="80">
        <v>4676.4699999999993</v>
      </c>
      <c r="H18" s="80">
        <f t="shared" si="1"/>
        <v>361176.22</v>
      </c>
    </row>
    <row r="20" spans="1:11" x14ac:dyDescent="0.25">
      <c r="B20" s="3" t="s">
        <v>7</v>
      </c>
    </row>
    <row r="21" spans="1:11" x14ac:dyDescent="0.25">
      <c r="A21" s="2" t="s">
        <v>150</v>
      </c>
      <c r="B21" t="s">
        <v>148</v>
      </c>
    </row>
    <row r="22" spans="1:11" x14ac:dyDescent="0.25">
      <c r="A22" s="2" t="s">
        <v>153</v>
      </c>
      <c r="B22" t="s">
        <v>152</v>
      </c>
    </row>
    <row r="23" spans="1:11" x14ac:dyDescent="0.25">
      <c r="A23" s="2">
        <v>3</v>
      </c>
      <c r="B23" s="74" t="s">
        <v>145</v>
      </c>
    </row>
    <row r="24" spans="1:11" ht="15" customHeight="1" x14ac:dyDescent="0.25">
      <c r="A24" s="7" t="s">
        <v>149</v>
      </c>
      <c r="B24" s="33" t="s">
        <v>146</v>
      </c>
      <c r="C24" s="29"/>
      <c r="D24" s="29"/>
      <c r="E24" s="29"/>
      <c r="F24" s="29"/>
      <c r="G24" s="29"/>
      <c r="H24" s="29"/>
      <c r="I24" s="29"/>
    </row>
    <row r="25" spans="1:11" ht="15" customHeight="1" x14ac:dyDescent="0.25">
      <c r="A25" s="7" t="s">
        <v>154</v>
      </c>
      <c r="B25" s="33" t="s">
        <v>151</v>
      </c>
      <c r="D25" s="29"/>
      <c r="E25" s="29"/>
      <c r="F25" s="29"/>
      <c r="G25" s="29"/>
      <c r="H25" s="29"/>
      <c r="I25" s="29"/>
    </row>
    <row r="26" spans="1:11" ht="15" customHeight="1" x14ac:dyDescent="0.25">
      <c r="A26" s="7"/>
      <c r="B26" s="33"/>
      <c r="D26" s="33"/>
      <c r="E26" s="33"/>
      <c r="F26" s="33"/>
      <c r="G26" s="33"/>
      <c r="H26" s="33"/>
    </row>
    <row r="27" spans="1:11" ht="15" customHeight="1" x14ac:dyDescent="0.25">
      <c r="A27" s="7"/>
      <c r="B27" s="33"/>
      <c r="D27" s="33"/>
      <c r="E27" s="33"/>
      <c r="F27" s="33"/>
      <c r="G27" s="33"/>
      <c r="H27" s="33"/>
    </row>
    <row r="30" spans="1:11" x14ac:dyDescent="0.25">
      <c r="B30" s="87" t="s">
        <v>142</v>
      </c>
      <c r="C30" s="87"/>
      <c r="D30" s="87"/>
      <c r="E30" s="87"/>
      <c r="F30" s="87"/>
      <c r="G30" s="87"/>
      <c r="H30" s="87"/>
    </row>
    <row r="31" spans="1:11" x14ac:dyDescent="0.25">
      <c r="B31" s="77" t="s">
        <v>144</v>
      </c>
      <c r="C31" s="77" t="s">
        <v>0</v>
      </c>
      <c r="D31" s="77" t="s">
        <v>1</v>
      </c>
      <c r="E31" s="77" t="s">
        <v>2</v>
      </c>
      <c r="F31" s="77" t="s">
        <v>3</v>
      </c>
      <c r="G31" s="77" t="s">
        <v>4</v>
      </c>
      <c r="H31" s="77" t="s">
        <v>6</v>
      </c>
    </row>
    <row r="32" spans="1:11" x14ac:dyDescent="0.25">
      <c r="B32" t="s">
        <v>103</v>
      </c>
      <c r="C32" s="6">
        <v>322094050</v>
      </c>
      <c r="D32" s="6">
        <v>29409598</v>
      </c>
      <c r="E32" s="6">
        <v>19341482</v>
      </c>
      <c r="F32" s="6">
        <v>1067395221</v>
      </c>
      <c r="G32" s="6">
        <v>48890947</v>
      </c>
      <c r="H32" s="6">
        <f>SUM(C32:G32)</f>
        <v>1487131298</v>
      </c>
      <c r="K32" s="6">
        <v>4037062</v>
      </c>
    </row>
    <row r="33" spans="2:11" x14ac:dyDescent="0.25">
      <c r="B33" t="s">
        <v>107</v>
      </c>
      <c r="C33" s="6">
        <v>0</v>
      </c>
      <c r="D33" s="6">
        <v>0</v>
      </c>
      <c r="E33" s="6">
        <v>2308433</v>
      </c>
      <c r="F33" s="6">
        <v>0</v>
      </c>
      <c r="G33" s="6">
        <v>0</v>
      </c>
      <c r="H33" s="6">
        <f t="shared" ref="H33:H36" si="4">SUM(C33:G33)</f>
        <v>2308433</v>
      </c>
      <c r="K33" s="6">
        <v>40370623</v>
      </c>
    </row>
    <row r="34" spans="2:11" x14ac:dyDescent="0.25">
      <c r="B34" t="s">
        <v>104</v>
      </c>
      <c r="C34" s="6">
        <v>95047053</v>
      </c>
      <c r="D34" s="6">
        <v>10616030</v>
      </c>
      <c r="E34" s="6">
        <v>7452122</v>
      </c>
      <c r="F34" s="6">
        <f>211349415-1715380-230281</f>
        <v>209403754</v>
      </c>
      <c r="G34" s="6">
        <v>6794475</v>
      </c>
      <c r="H34" s="6">
        <f t="shared" si="4"/>
        <v>329313434</v>
      </c>
      <c r="K34" s="6">
        <f>K33/0.2</f>
        <v>201853115</v>
      </c>
    </row>
    <row r="35" spans="2:11" x14ac:dyDescent="0.25">
      <c r="B35" t="s">
        <v>105</v>
      </c>
      <c r="C35" s="6">
        <v>2829004</v>
      </c>
      <c r="D35" s="6">
        <v>4217155</v>
      </c>
      <c r="E35" s="6">
        <v>7009708</v>
      </c>
      <c r="F35" s="6">
        <v>32411701</v>
      </c>
      <c r="G35" s="6">
        <v>0</v>
      </c>
      <c r="H35" s="6">
        <f t="shared" si="4"/>
        <v>46467568</v>
      </c>
      <c r="K35" s="6"/>
    </row>
    <row r="36" spans="2:11" x14ac:dyDescent="0.25">
      <c r="B36" t="s">
        <v>106</v>
      </c>
      <c r="C36" s="6">
        <v>9943175</v>
      </c>
      <c r="D36" s="6">
        <v>10859555</v>
      </c>
      <c r="E36" s="6">
        <v>10458877</v>
      </c>
      <c r="F36" s="6">
        <v>59412634</v>
      </c>
      <c r="G36" s="6">
        <v>5893391</v>
      </c>
      <c r="H36" s="6">
        <f t="shared" si="4"/>
        <v>96567632</v>
      </c>
      <c r="K36" s="6">
        <f>K34*20%</f>
        <v>40370623</v>
      </c>
    </row>
    <row r="37" spans="2:11" x14ac:dyDescent="0.25">
      <c r="B37" s="73" t="s">
        <v>6</v>
      </c>
      <c r="C37" s="72">
        <f t="shared" ref="C37:H37" si="5">SUM(C32:C36)</f>
        <v>429913282</v>
      </c>
      <c r="D37" s="72">
        <f t="shared" si="5"/>
        <v>55102338</v>
      </c>
      <c r="E37" s="72">
        <f t="shared" si="5"/>
        <v>46570622</v>
      </c>
      <c r="F37" s="72">
        <f t="shared" si="5"/>
        <v>1368623310</v>
      </c>
      <c r="G37" s="72">
        <f t="shared" si="5"/>
        <v>61578813</v>
      </c>
      <c r="H37" s="72">
        <f t="shared" si="5"/>
        <v>1961788365</v>
      </c>
      <c r="I37" s="5"/>
    </row>
    <row r="40" spans="2:11" x14ac:dyDescent="0.25">
      <c r="B40" s="87" t="s">
        <v>143</v>
      </c>
      <c r="C40" s="87"/>
      <c r="D40" s="87"/>
      <c r="E40" s="87"/>
      <c r="F40" s="87"/>
      <c r="G40" s="87"/>
      <c r="H40" s="87"/>
    </row>
    <row r="41" spans="2:11" x14ac:dyDescent="0.25">
      <c r="B41" s="77" t="s">
        <v>144</v>
      </c>
      <c r="C41" s="77" t="s">
        <v>0</v>
      </c>
      <c r="D41" s="77" t="s">
        <v>1</v>
      </c>
      <c r="E41" s="77" t="s">
        <v>2</v>
      </c>
      <c r="F41" s="77" t="s">
        <v>3</v>
      </c>
      <c r="G41" s="77" t="s">
        <v>4</v>
      </c>
      <c r="H41" s="77" t="s">
        <v>6</v>
      </c>
    </row>
    <row r="42" spans="2:11" x14ac:dyDescent="0.25">
      <c r="B42" t="s">
        <v>103</v>
      </c>
      <c r="C42" s="6">
        <v>277324352</v>
      </c>
      <c r="D42" s="6">
        <v>27556845.280000001</v>
      </c>
      <c r="E42" s="6">
        <v>19284204</v>
      </c>
      <c r="F42" s="6">
        <v>865002956</v>
      </c>
      <c r="G42" s="6">
        <v>47168730</v>
      </c>
      <c r="H42" s="6">
        <f t="shared" ref="H42:H46" si="6">SUM(C42:G42)</f>
        <v>1236337087.28</v>
      </c>
    </row>
    <row r="43" spans="2:11" x14ac:dyDescent="0.25">
      <c r="B43" t="s">
        <v>107</v>
      </c>
      <c r="C43" s="6">
        <v>0</v>
      </c>
      <c r="D43" s="6">
        <v>0</v>
      </c>
      <c r="E43" s="6">
        <v>3929839</v>
      </c>
      <c r="F43" s="6">
        <v>0</v>
      </c>
      <c r="G43" s="6">
        <v>0</v>
      </c>
      <c r="H43" s="6">
        <f t="shared" si="6"/>
        <v>3929839</v>
      </c>
    </row>
    <row r="44" spans="2:11" x14ac:dyDescent="0.25">
      <c r="B44" t="s">
        <v>104</v>
      </c>
      <c r="C44" s="6">
        <v>68842975</v>
      </c>
      <c r="D44" s="6">
        <v>12809964.630000001</v>
      </c>
      <c r="E44" s="6">
        <v>10852083</v>
      </c>
      <c r="F44" s="6">
        <f>125867481-2172342-52425</f>
        <v>123642714</v>
      </c>
      <c r="G44" s="6">
        <v>5838048</v>
      </c>
      <c r="H44" s="6">
        <f t="shared" si="6"/>
        <v>221985784.63</v>
      </c>
    </row>
    <row r="45" spans="2:11" x14ac:dyDescent="0.25">
      <c r="B45" t="s">
        <v>105</v>
      </c>
      <c r="C45" s="6">
        <v>3261973</v>
      </c>
      <c r="D45" s="6">
        <v>4657498.34</v>
      </c>
      <c r="E45" s="6">
        <v>3457470</v>
      </c>
      <c r="F45" s="6">
        <v>4552883</v>
      </c>
      <c r="G45" s="6">
        <v>0</v>
      </c>
      <c r="H45" s="6">
        <f t="shared" si="6"/>
        <v>15929824.34</v>
      </c>
    </row>
    <row r="46" spans="2:11" x14ac:dyDescent="0.25">
      <c r="B46" t="s">
        <v>106</v>
      </c>
      <c r="C46" s="6">
        <v>6427508</v>
      </c>
      <c r="D46" s="6">
        <v>7439234</v>
      </c>
      <c r="E46" s="6">
        <v>11837340</v>
      </c>
      <c r="F46" s="6">
        <v>50041224</v>
      </c>
      <c r="G46" s="6">
        <v>3320881</v>
      </c>
      <c r="H46" s="6">
        <f t="shared" si="6"/>
        <v>79066187</v>
      </c>
    </row>
    <row r="47" spans="2:11" x14ac:dyDescent="0.25">
      <c r="B47" s="73" t="s">
        <v>6</v>
      </c>
      <c r="C47" s="72">
        <f t="shared" ref="C47:H47" si="7">SUM(C42:C46)</f>
        <v>355856808</v>
      </c>
      <c r="D47" s="72">
        <f t="shared" si="7"/>
        <v>52463542.25</v>
      </c>
      <c r="E47" s="72">
        <f t="shared" si="7"/>
        <v>49360936</v>
      </c>
      <c r="F47" s="72">
        <f t="shared" si="7"/>
        <v>1043239777</v>
      </c>
      <c r="G47" s="72">
        <f t="shared" si="7"/>
        <v>56327659</v>
      </c>
      <c r="H47" s="72">
        <f t="shared" si="7"/>
        <v>1557248722.2499998</v>
      </c>
      <c r="I47" s="5">
        <f>H47-H7</f>
        <v>0</v>
      </c>
    </row>
    <row r="49" spans="2:8" ht="30" customHeight="1" x14ac:dyDescent="0.25">
      <c r="B49" s="85" t="s">
        <v>147</v>
      </c>
      <c r="C49" s="85"/>
      <c r="D49" s="85"/>
      <c r="E49" s="85"/>
      <c r="F49" s="85"/>
      <c r="G49" s="85"/>
      <c r="H49" s="85"/>
    </row>
  </sheetData>
  <mergeCells count="5">
    <mergeCell ref="B49:H49"/>
    <mergeCell ref="J2:M2"/>
    <mergeCell ref="B30:H30"/>
    <mergeCell ref="B40:H40"/>
    <mergeCell ref="A2:H2"/>
  </mergeCells>
  <pageMargins left="0.7" right="0.7" top="0.75" bottom="0.75" header="0.3" footer="0.3"/>
  <pageSetup paperSize="9" orientation="portrait" horizontalDpi="4294967293" verticalDpi="4294967293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4"/>
  <sheetViews>
    <sheetView showGridLines="0" zoomScale="90" zoomScaleNormal="90" workbookViewId="0">
      <selection activeCell="B14" sqref="B14"/>
    </sheetView>
  </sheetViews>
  <sheetFormatPr baseColWidth="10" defaultRowHeight="15" x14ac:dyDescent="0.25"/>
  <cols>
    <col min="1" max="1" width="18" bestFit="1" customWidth="1"/>
    <col min="2" max="2" width="44.85546875" customWidth="1"/>
    <col min="3" max="8" width="19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132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8" t="s">
        <v>118</v>
      </c>
      <c r="D5" s="103" t="s">
        <v>36</v>
      </c>
      <c r="E5" s="103" t="s">
        <v>37</v>
      </c>
    </row>
    <row r="6" spans="1:16" ht="48.75" customHeight="1" x14ac:dyDescent="0.25">
      <c r="C6" s="109"/>
      <c r="D6" s="104"/>
      <c r="E6" s="104"/>
    </row>
    <row r="7" spans="1:16" ht="14.25" customHeight="1" x14ac:dyDescent="0.25">
      <c r="A7" s="4"/>
      <c r="C7" s="110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Captura!K14</f>
        <v>323075</v>
      </c>
      <c r="D8" s="62">
        <f>Captura!L14</f>
        <v>0.2</v>
      </c>
      <c r="E8" s="38">
        <f>+C8*D8</f>
        <v>64615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3" t="s">
        <v>92</v>
      </c>
      <c r="C12" s="42"/>
      <c r="D12" s="42"/>
      <c r="E12" s="42"/>
      <c r="F12" s="42"/>
      <c r="G12" s="42"/>
      <c r="H12" s="42"/>
    </row>
    <row r="13" spans="1:16" ht="15.75" x14ac:dyDescent="0.25">
      <c r="B13" s="46" t="s">
        <v>161</v>
      </c>
      <c r="C13" s="47">
        <f>Captura!C18</f>
        <v>144814.29999999999</v>
      </c>
      <c r="D13" s="47">
        <f>Captura!D18</f>
        <v>45871.26</v>
      </c>
      <c r="E13" s="47">
        <f>Captura!E18</f>
        <v>15057.02</v>
      </c>
      <c r="F13" s="47">
        <f>Captura!F18</f>
        <v>150757.17000000001</v>
      </c>
      <c r="G13" s="47">
        <f>Captura!G18</f>
        <v>4676.4699999999993</v>
      </c>
      <c r="H13" s="47">
        <f>Captura!H18</f>
        <v>361176.22</v>
      </c>
    </row>
    <row r="14" spans="1:16" ht="15.75" x14ac:dyDescent="0.25">
      <c r="B14" s="46" t="s">
        <v>66</v>
      </c>
      <c r="C14" s="49">
        <f>(C13/$H$13)</f>
        <v>0.40095192313602485</v>
      </c>
      <c r="D14" s="49">
        <f>(D13/$H$13)</f>
        <v>0.12700520538146173</v>
      </c>
      <c r="E14" s="49">
        <f>(E13/$H$13)</f>
        <v>4.1688846513759967E-2</v>
      </c>
      <c r="F14" s="49">
        <f>(F13/$H$13)</f>
        <v>0.41740613487787215</v>
      </c>
      <c r="G14" s="49">
        <f>(G13/$H$13)</f>
        <v>1.2947890090881398E-2</v>
      </c>
      <c r="H14" s="49">
        <f>SUM(C14:G14)</f>
        <v>1</v>
      </c>
    </row>
    <row r="15" spans="1:16" ht="15.75" x14ac:dyDescent="0.25">
      <c r="B15" s="42"/>
      <c r="C15" s="42"/>
      <c r="D15" s="42"/>
      <c r="E15" s="42"/>
      <c r="F15" s="42"/>
      <c r="G15" s="42"/>
      <c r="H15" s="42"/>
    </row>
    <row r="16" spans="1:16" ht="31.5" x14ac:dyDescent="0.25">
      <c r="A16" t="s">
        <v>45</v>
      </c>
      <c r="B16" s="59" t="s">
        <v>89</v>
      </c>
      <c r="C16" s="44">
        <f>C14*($E$8*100%)</f>
        <v>25907.508513434244</v>
      </c>
      <c r="D16" s="44">
        <f t="shared" ref="D16:H16" si="0">D14*($E$8*100%)</f>
        <v>8206.4413457231494</v>
      </c>
      <c r="E16" s="44">
        <f t="shared" si="0"/>
        <v>2693.7248174866004</v>
      </c>
      <c r="F16" s="44">
        <f t="shared" si="0"/>
        <v>26970.697405133709</v>
      </c>
      <c r="G16" s="44">
        <f t="shared" si="0"/>
        <v>836.62791822230156</v>
      </c>
      <c r="H16" s="44">
        <f t="shared" si="0"/>
        <v>64615</v>
      </c>
    </row>
    <row r="17" spans="2:16" ht="15.75" x14ac:dyDescent="0.25">
      <c r="B17" s="50"/>
      <c r="C17" s="42"/>
      <c r="D17" s="42"/>
      <c r="E17" s="42"/>
      <c r="F17" s="42"/>
      <c r="G17" s="42"/>
      <c r="H17" s="42"/>
    </row>
    <row r="18" spans="2:16" ht="15.75" x14ac:dyDescent="0.25">
      <c r="B18" s="50" t="s">
        <v>91</v>
      </c>
      <c r="C18" s="61">
        <f>C16/$H$16</f>
        <v>0.40095192313602485</v>
      </c>
      <c r="D18" s="61">
        <f t="shared" ref="D18:H18" si="1">D16/$H$16</f>
        <v>0.12700520538146173</v>
      </c>
      <c r="E18" s="61">
        <f t="shared" si="1"/>
        <v>4.1688846513759967E-2</v>
      </c>
      <c r="F18" s="61">
        <f t="shared" si="1"/>
        <v>0.41740613487787215</v>
      </c>
      <c r="G18" s="61">
        <f t="shared" si="1"/>
        <v>1.2947890090881398E-2</v>
      </c>
      <c r="H18" s="61">
        <f t="shared" si="1"/>
        <v>1</v>
      </c>
    </row>
    <row r="30" spans="2:16" x14ac:dyDescent="0.25">
      <c r="I30" s="25"/>
      <c r="J30" s="25"/>
      <c r="K30" s="25"/>
      <c r="L30" s="25"/>
      <c r="M30" s="25"/>
      <c r="N30" s="25"/>
      <c r="O30" s="25"/>
      <c r="P30" s="24"/>
    </row>
    <row r="33" spans="9:15" x14ac:dyDescent="0.25">
      <c r="O33" s="5"/>
    </row>
    <row r="34" spans="9:15" x14ac:dyDescent="0.25">
      <c r="I34" s="27"/>
      <c r="J34" s="27"/>
      <c r="K34" s="27"/>
      <c r="L34" s="27"/>
      <c r="M34" s="27"/>
      <c r="N34" s="27"/>
      <c r="O34" s="28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39"/>
  <sheetViews>
    <sheetView showGridLines="0" zoomScale="90" zoomScaleNormal="90" workbookViewId="0">
      <selection activeCell="B3" sqref="B3:H4"/>
    </sheetView>
  </sheetViews>
  <sheetFormatPr baseColWidth="10" defaultRowHeight="15" x14ac:dyDescent="0.25"/>
  <cols>
    <col min="1" max="1" width="18" bestFit="1" customWidth="1"/>
    <col min="2" max="2" width="48.5703125" customWidth="1"/>
    <col min="3" max="8" width="19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133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8" t="s">
        <v>162</v>
      </c>
      <c r="D5" s="103" t="s">
        <v>36</v>
      </c>
      <c r="E5" s="103" t="s">
        <v>37</v>
      </c>
    </row>
    <row r="6" spans="1:16" ht="48.75" customHeight="1" x14ac:dyDescent="0.25">
      <c r="C6" s="109"/>
      <c r="D6" s="104"/>
      <c r="E6" s="104"/>
    </row>
    <row r="7" spans="1:16" ht="14.25" customHeight="1" x14ac:dyDescent="0.25">
      <c r="A7" s="4"/>
      <c r="C7" s="110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Captura!K13</f>
        <v>332005124</v>
      </c>
      <c r="D8" s="62">
        <v>0.18643494699999999</v>
      </c>
      <c r="E8" s="38">
        <f>+C8*D8</f>
        <v>61897357.696668424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3" t="s">
        <v>121</v>
      </c>
      <c r="C12" s="42"/>
      <c r="D12" s="42"/>
      <c r="E12" s="42"/>
      <c r="F12" s="42"/>
      <c r="G12" s="42"/>
      <c r="H12" s="42"/>
    </row>
    <row r="13" spans="1:16" ht="15.75" x14ac:dyDescent="0.25">
      <c r="B13" s="46" t="s">
        <v>130</v>
      </c>
      <c r="C13" s="47">
        <v>0</v>
      </c>
      <c r="D13" s="47">
        <v>0</v>
      </c>
      <c r="E13" s="47">
        <v>0</v>
      </c>
      <c r="F13" s="47">
        <v>64351912</v>
      </c>
      <c r="G13" s="47">
        <v>1101751</v>
      </c>
      <c r="H13" s="47">
        <f>SUM(Tabla351012131415162[[#This Row],[LA PAZ]:[LORETO]])</f>
        <v>65453663</v>
      </c>
    </row>
    <row r="14" spans="1:16" ht="15.75" x14ac:dyDescent="0.25">
      <c r="B14" s="46" t="s">
        <v>66</v>
      </c>
      <c r="C14" s="49">
        <f>(C13/$H$13)</f>
        <v>0</v>
      </c>
      <c r="D14" s="49">
        <f>(D13/$H$13)</f>
        <v>0</v>
      </c>
      <c r="E14" s="49">
        <f>(E13/$H$13)</f>
        <v>0</v>
      </c>
      <c r="F14" s="49">
        <f>(F13/$H$13)</f>
        <v>0.98316746612026895</v>
      </c>
      <c r="G14" s="49">
        <f>(G13/$H$13)</f>
        <v>1.6832533879731069E-2</v>
      </c>
      <c r="H14" s="49">
        <f>SUM(C14:G14)</f>
        <v>1</v>
      </c>
    </row>
    <row r="15" spans="1:16" ht="15.75" x14ac:dyDescent="0.25">
      <c r="B15" s="42"/>
      <c r="C15" s="42"/>
      <c r="D15" s="42"/>
      <c r="E15" s="42"/>
      <c r="F15" s="42"/>
      <c r="G15" s="42"/>
      <c r="H15" s="42"/>
    </row>
    <row r="16" spans="1:16" ht="15.75" x14ac:dyDescent="0.25">
      <c r="A16" t="s">
        <v>45</v>
      </c>
      <c r="B16" s="59" t="s">
        <v>89</v>
      </c>
      <c r="C16" s="44">
        <f>C14*($E$8*100%)</f>
        <v>0</v>
      </c>
      <c r="D16" s="44">
        <f t="shared" ref="D16:H16" si="0">D14*($E$8*100%)</f>
        <v>0</v>
      </c>
      <c r="E16" s="44">
        <f t="shared" si="0"/>
        <v>0</v>
      </c>
      <c r="F16" s="44">
        <f t="shared" si="0"/>
        <v>60855468.326173425</v>
      </c>
      <c r="G16" s="44">
        <f t="shared" si="0"/>
        <v>1041889.3704950039</v>
      </c>
      <c r="H16" s="44">
        <f t="shared" si="0"/>
        <v>61897357.696668424</v>
      </c>
    </row>
    <row r="17" spans="2:16" ht="15.75" x14ac:dyDescent="0.25">
      <c r="B17" s="50"/>
      <c r="C17" s="42"/>
      <c r="D17" s="42"/>
      <c r="E17" s="42"/>
      <c r="F17" s="42"/>
      <c r="G17" s="42"/>
      <c r="H17" s="42"/>
    </row>
    <row r="18" spans="2:16" ht="15.75" x14ac:dyDescent="0.25">
      <c r="B18" s="50" t="s">
        <v>91</v>
      </c>
      <c r="C18" s="61">
        <f>C16/$H$16</f>
        <v>0</v>
      </c>
      <c r="D18" s="61">
        <f t="shared" ref="D18:H18" si="1">D16/$H$16</f>
        <v>0</v>
      </c>
      <c r="E18" s="61">
        <f t="shared" si="1"/>
        <v>0</v>
      </c>
      <c r="F18" s="61">
        <f t="shared" si="1"/>
        <v>0.98316746612026906</v>
      </c>
      <c r="G18" s="61">
        <f t="shared" si="1"/>
        <v>1.6832533879731069E-2</v>
      </c>
      <c r="H18" s="61">
        <f t="shared" si="1"/>
        <v>1</v>
      </c>
    </row>
    <row r="25" spans="2:16" x14ac:dyDescent="0.25">
      <c r="F25" s="67"/>
    </row>
    <row r="29" spans="2:16" x14ac:dyDescent="0.25">
      <c r="G29" s="65"/>
    </row>
    <row r="30" spans="2:16" x14ac:dyDescent="0.25">
      <c r="G30" s="65"/>
      <c r="I30" s="25"/>
      <c r="J30" s="25"/>
      <c r="K30" s="25"/>
      <c r="L30" s="25"/>
      <c r="M30" s="25"/>
      <c r="N30" s="25"/>
      <c r="O30" s="25"/>
      <c r="P30" s="24"/>
    </row>
    <row r="31" spans="2:16" x14ac:dyDescent="0.25">
      <c r="F31" s="6"/>
      <c r="G31" s="68"/>
    </row>
    <row r="32" spans="2:16" x14ac:dyDescent="0.25">
      <c r="F32" s="6"/>
      <c r="G32" s="68"/>
    </row>
    <row r="33" spans="4:15" x14ac:dyDescent="0.25">
      <c r="F33" s="6"/>
      <c r="G33" s="68"/>
      <c r="O33" s="5"/>
    </row>
    <row r="34" spans="4:15" x14ac:dyDescent="0.25">
      <c r="F34" s="6"/>
      <c r="G34" s="68"/>
      <c r="I34" s="27"/>
      <c r="J34" s="27"/>
      <c r="K34" s="27"/>
      <c r="L34" s="27"/>
      <c r="M34" s="27"/>
      <c r="N34" s="27"/>
      <c r="O34" s="28"/>
    </row>
    <row r="35" spans="4:15" x14ac:dyDescent="0.25">
      <c r="F35" s="6"/>
      <c r="G35" s="68"/>
    </row>
    <row r="36" spans="4:15" x14ac:dyDescent="0.25">
      <c r="F36" s="6"/>
      <c r="G36" s="69"/>
    </row>
    <row r="39" spans="4:15" x14ac:dyDescent="0.25">
      <c r="D39" s="70"/>
      <c r="E39" s="71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28"/>
  <sheetViews>
    <sheetView showGridLines="0" tabSelected="1" zoomScale="90" zoomScaleNormal="90" workbookViewId="0">
      <selection activeCell="C20" sqref="C20"/>
    </sheetView>
  </sheetViews>
  <sheetFormatPr baseColWidth="10" defaultRowHeight="15" x14ac:dyDescent="0.25"/>
  <cols>
    <col min="1" max="1" width="18" bestFit="1" customWidth="1"/>
    <col min="2" max="2" width="48.5703125" customWidth="1"/>
    <col min="3" max="8" width="19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131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8" t="s">
        <v>163</v>
      </c>
      <c r="D5" s="103" t="s">
        <v>36</v>
      </c>
      <c r="E5" s="103" t="s">
        <v>37</v>
      </c>
    </row>
    <row r="6" spans="1:16" ht="48.75" customHeight="1" x14ac:dyDescent="0.25">
      <c r="C6" s="109"/>
      <c r="D6" s="104"/>
      <c r="E6" s="104"/>
    </row>
    <row r="7" spans="1:16" ht="14.25" customHeight="1" x14ac:dyDescent="0.25">
      <c r="A7" s="4"/>
      <c r="C7" s="110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Captura!K15</f>
        <v>716204956</v>
      </c>
      <c r="D8" s="62">
        <v>0.2</v>
      </c>
      <c r="E8" s="38">
        <f>+C8*D8</f>
        <v>143240991.20000002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15.75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1"/>
      <c r="C12" s="42"/>
      <c r="D12" s="42"/>
      <c r="E12" s="42"/>
      <c r="F12" s="42"/>
      <c r="G12" s="42"/>
      <c r="H12" s="42"/>
    </row>
    <row r="13" spans="1:16" ht="15.75" x14ac:dyDescent="0.25">
      <c r="B13" s="50" t="s">
        <v>122</v>
      </c>
      <c r="C13" s="75">
        <f>C14*($E$8*80%)</f>
        <v>22918558.592000008</v>
      </c>
      <c r="D13" s="75">
        <f t="shared" ref="D13:G13" si="0">D14*($E$8*80%)</f>
        <v>22918558.592000008</v>
      </c>
      <c r="E13" s="75">
        <f t="shared" si="0"/>
        <v>22918558.592000008</v>
      </c>
      <c r="F13" s="75">
        <f t="shared" si="0"/>
        <v>22918558.592000008</v>
      </c>
      <c r="G13" s="75">
        <f t="shared" si="0"/>
        <v>22918558.592000008</v>
      </c>
      <c r="H13" s="44">
        <f>SUM(C13:G13)</f>
        <v>114592792.96000004</v>
      </c>
    </row>
    <row r="14" spans="1:16" ht="15.75" x14ac:dyDescent="0.25">
      <c r="B14" s="46" t="s">
        <v>73</v>
      </c>
      <c r="C14" s="53">
        <v>0.2</v>
      </c>
      <c r="D14" s="53">
        <v>0.2</v>
      </c>
      <c r="E14" s="53">
        <v>0.2</v>
      </c>
      <c r="F14" s="53">
        <v>0.2</v>
      </c>
      <c r="G14" s="53">
        <v>0.2</v>
      </c>
      <c r="H14" s="54">
        <f>SUM(C14:G14)</f>
        <v>1</v>
      </c>
    </row>
    <row r="15" spans="1:16" ht="15.75" x14ac:dyDescent="0.25">
      <c r="B15" s="46"/>
      <c r="C15" s="53"/>
      <c r="D15" s="53"/>
      <c r="E15" s="53"/>
      <c r="F15" s="53"/>
      <c r="G15" s="53"/>
      <c r="H15" s="54"/>
    </row>
    <row r="16" spans="1:16" ht="15.75" x14ac:dyDescent="0.25">
      <c r="B16" s="42"/>
      <c r="C16" s="42"/>
      <c r="D16" s="42"/>
      <c r="E16" s="42"/>
      <c r="F16" s="42"/>
      <c r="G16" s="42"/>
      <c r="H16" s="42"/>
    </row>
    <row r="17" spans="2:16" ht="15.75" x14ac:dyDescent="0.25">
      <c r="B17" s="50" t="s">
        <v>123</v>
      </c>
      <c r="C17" s="76">
        <f>C21*($E$8*20%)</f>
        <v>6396891.1810969561</v>
      </c>
      <c r="D17" s="76">
        <f t="shared" ref="D17:G17" si="1">D21*($E$8*20%)</f>
        <v>875685.19025476812</v>
      </c>
      <c r="E17" s="76">
        <f t="shared" si="1"/>
        <v>780971.10741271812</v>
      </c>
      <c r="F17" s="76">
        <f t="shared" si="1"/>
        <v>19634783.644212749</v>
      </c>
      <c r="G17" s="76">
        <f t="shared" si="1"/>
        <v>959867.11702281178</v>
      </c>
      <c r="H17" s="44">
        <f>SUM(C17:G17)</f>
        <v>28648198.240000002</v>
      </c>
    </row>
    <row r="18" spans="2:16" ht="15.75" x14ac:dyDescent="0.25">
      <c r="B18" s="51" t="s">
        <v>128</v>
      </c>
      <c r="C18" s="47">
        <f>Captura!C6</f>
        <v>429913282</v>
      </c>
      <c r="D18" s="47">
        <f>Captura!D6</f>
        <v>55102338</v>
      </c>
      <c r="E18" s="47">
        <f>Captura!E6</f>
        <v>46570622</v>
      </c>
      <c r="F18" s="47">
        <f>Captura!F6</f>
        <v>1368623310</v>
      </c>
      <c r="G18" s="47">
        <f>Captura!G6</f>
        <v>61578813</v>
      </c>
      <c r="H18" s="52">
        <f>SUM(C18:G18)</f>
        <v>1961788365</v>
      </c>
    </row>
    <row r="19" spans="2:16" ht="15.75" x14ac:dyDescent="0.25">
      <c r="B19" s="51" t="s">
        <v>129</v>
      </c>
      <c r="C19" s="47">
        <f>Captura!C7</f>
        <v>355856808</v>
      </c>
      <c r="D19" s="47">
        <f>Captura!D7</f>
        <v>52463542.25</v>
      </c>
      <c r="E19" s="47">
        <f>Captura!E7</f>
        <v>49360936</v>
      </c>
      <c r="F19" s="47">
        <f>Captura!F7</f>
        <v>1043239777</v>
      </c>
      <c r="G19" s="47">
        <f>Captura!G7</f>
        <v>56327659</v>
      </c>
      <c r="H19" s="52">
        <f>SUM(C19:G19)</f>
        <v>1557248722.25</v>
      </c>
      <c r="I19" s="25"/>
      <c r="J19" s="25"/>
      <c r="K19" s="25"/>
      <c r="L19" s="25"/>
      <c r="M19" s="25"/>
      <c r="N19" s="25"/>
      <c r="O19" s="25"/>
      <c r="P19" s="24"/>
    </row>
    <row r="20" spans="2:16" ht="15.75" x14ac:dyDescent="0.25">
      <c r="B20" s="51" t="s">
        <v>124</v>
      </c>
      <c r="C20" s="47">
        <f>+C18+C19</f>
        <v>785770090</v>
      </c>
      <c r="D20" s="47">
        <f t="shared" ref="D20:G20" si="2">+D18+D19</f>
        <v>107565880.25</v>
      </c>
      <c r="E20" s="47">
        <f t="shared" si="2"/>
        <v>95931558</v>
      </c>
      <c r="F20" s="47">
        <f t="shared" si="2"/>
        <v>2411863087</v>
      </c>
      <c r="G20" s="47">
        <f t="shared" si="2"/>
        <v>117906472</v>
      </c>
      <c r="H20" s="52">
        <f>SUM(C20:G20)</f>
        <v>3519037087.25</v>
      </c>
    </row>
    <row r="21" spans="2:16" ht="15.75" x14ac:dyDescent="0.25">
      <c r="B21" s="51" t="s">
        <v>125</v>
      </c>
      <c r="C21" s="49">
        <f>C20/$H$20</f>
        <v>0.22329122158074521</v>
      </c>
      <c r="D21" s="49">
        <f>D20/$H$20</f>
        <v>3.0566850414770377E-2</v>
      </c>
      <c r="E21" s="49">
        <f>E20/$H$20</f>
        <v>2.7260740828101655E-2</v>
      </c>
      <c r="F21" s="49">
        <f>F20/$H$20</f>
        <v>0.68537586481783386</v>
      </c>
      <c r="G21" s="49">
        <f>G20/$H$20</f>
        <v>3.3505322358548841E-2</v>
      </c>
      <c r="H21" s="49">
        <f>SUM(C21:G21)</f>
        <v>1</v>
      </c>
    </row>
    <row r="22" spans="2:16" ht="15.75" x14ac:dyDescent="0.25">
      <c r="B22" s="42"/>
      <c r="C22" s="42"/>
      <c r="D22" s="42"/>
      <c r="E22" s="42"/>
      <c r="F22" s="42"/>
      <c r="G22" s="42"/>
      <c r="H22" s="42"/>
      <c r="O22" s="5"/>
    </row>
    <row r="23" spans="2:16" ht="31.5" x14ac:dyDescent="0.25">
      <c r="B23" s="59" t="s">
        <v>126</v>
      </c>
      <c r="C23" s="60">
        <f>+C17+C13</f>
        <v>29315449.773096964</v>
      </c>
      <c r="D23" s="60">
        <f t="shared" ref="D23:H23" si="3">+D17+D13</f>
        <v>23794243.782254774</v>
      </c>
      <c r="E23" s="60">
        <f t="shared" si="3"/>
        <v>23699529.699412726</v>
      </c>
      <c r="F23" s="60">
        <f t="shared" si="3"/>
        <v>42553342.23621276</v>
      </c>
      <c r="G23" s="60">
        <f t="shared" si="3"/>
        <v>23878425.70902282</v>
      </c>
      <c r="H23" s="60">
        <f t="shared" si="3"/>
        <v>143240991.20000005</v>
      </c>
      <c r="I23" s="27"/>
      <c r="J23" s="27"/>
      <c r="K23" s="27"/>
      <c r="L23" s="27"/>
      <c r="M23" s="27"/>
      <c r="N23" s="27"/>
      <c r="O23" s="28"/>
    </row>
    <row r="24" spans="2:16" ht="15.75" x14ac:dyDescent="0.25">
      <c r="B24" s="50"/>
      <c r="C24" s="42"/>
      <c r="D24" s="42"/>
      <c r="E24" s="42"/>
      <c r="F24" s="42"/>
      <c r="G24" s="42"/>
      <c r="H24" s="42"/>
    </row>
    <row r="25" spans="2:16" ht="15.75" x14ac:dyDescent="0.25">
      <c r="B25" s="50" t="s">
        <v>127</v>
      </c>
      <c r="C25" s="61">
        <f>C23/$H$23</f>
        <v>0.20465824431614904</v>
      </c>
      <c r="D25" s="61">
        <f t="shared" ref="D25:H25" si="4">D23/$H$23</f>
        <v>0.16611337008295407</v>
      </c>
      <c r="E25" s="61">
        <f t="shared" si="4"/>
        <v>0.16545214816562034</v>
      </c>
      <c r="F25" s="61">
        <f t="shared" si="4"/>
        <v>0.29707517296356678</v>
      </c>
      <c r="G25" s="61">
        <f t="shared" si="4"/>
        <v>0.16670106447170976</v>
      </c>
      <c r="H25" s="61">
        <f t="shared" si="4"/>
        <v>1</v>
      </c>
    </row>
    <row r="28" spans="2:16" x14ac:dyDescent="0.25">
      <c r="D28" s="70"/>
      <c r="E28" s="71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53"/>
  <sheetViews>
    <sheetView showGridLines="0" view="pageBreakPreview" zoomScale="115" zoomScaleNormal="115" zoomScaleSheetLayoutView="115" workbookViewId="0">
      <selection activeCell="F25" sqref="F25"/>
    </sheetView>
  </sheetViews>
  <sheetFormatPr baseColWidth="10" defaultRowHeight="15" x14ac:dyDescent="0.25"/>
  <cols>
    <col min="3" max="4" width="11.7109375" customWidth="1"/>
    <col min="6" max="6" width="14.140625" bestFit="1" customWidth="1"/>
    <col min="7" max="7" width="11.5703125" customWidth="1"/>
    <col min="8" max="10" width="14.140625" bestFit="1" customWidth="1"/>
  </cols>
  <sheetData>
    <row r="2" spans="2:10" x14ac:dyDescent="0.25">
      <c r="B2" s="90" t="s">
        <v>32</v>
      </c>
      <c r="C2" s="90"/>
      <c r="D2" s="90"/>
      <c r="E2" s="90"/>
      <c r="F2" s="90"/>
      <c r="G2" s="90"/>
      <c r="H2" s="90"/>
      <c r="I2" s="90"/>
      <c r="J2" s="90"/>
    </row>
    <row r="3" spans="2:10" ht="15" customHeight="1" x14ac:dyDescent="0.25">
      <c r="B3" s="89" t="s">
        <v>33</v>
      </c>
      <c r="C3" s="89"/>
      <c r="D3" s="89"/>
      <c r="E3" s="89"/>
      <c r="F3" s="89"/>
      <c r="G3" s="89"/>
      <c r="H3" s="89"/>
      <c r="I3" s="89"/>
      <c r="J3" s="89"/>
    </row>
    <row r="4" spans="2:10" x14ac:dyDescent="0.25">
      <c r="B4" s="91" t="s">
        <v>94</v>
      </c>
      <c r="C4" s="91"/>
      <c r="D4" s="91"/>
      <c r="E4" s="91"/>
      <c r="F4" s="91"/>
      <c r="G4" s="91"/>
      <c r="H4" s="91"/>
      <c r="I4" s="91"/>
      <c r="J4" s="91"/>
    </row>
    <row r="5" spans="2:10" x14ac:dyDescent="0.25">
      <c r="B5" s="12"/>
      <c r="C5" s="12"/>
      <c r="D5" s="12"/>
      <c r="E5" s="12"/>
      <c r="F5" s="12"/>
      <c r="G5" s="12"/>
      <c r="H5" s="12"/>
    </row>
    <row r="6" spans="2:10" ht="15" customHeight="1" x14ac:dyDescent="0.25">
      <c r="B6" s="92" t="s">
        <v>5</v>
      </c>
      <c r="C6" s="97" t="s">
        <v>13</v>
      </c>
      <c r="D6" s="98"/>
      <c r="E6" s="97" t="s">
        <v>34</v>
      </c>
      <c r="F6" s="98"/>
      <c r="G6" s="97" t="s">
        <v>14</v>
      </c>
      <c r="H6" s="98"/>
      <c r="I6" s="97" t="s">
        <v>15</v>
      </c>
      <c r="J6" s="98"/>
    </row>
    <row r="7" spans="2:10" ht="27.75" customHeight="1" x14ac:dyDescent="0.25">
      <c r="B7" s="96"/>
      <c r="C7" s="99"/>
      <c r="D7" s="100"/>
      <c r="E7" s="99"/>
      <c r="F7" s="100"/>
      <c r="G7" s="99"/>
      <c r="H7" s="100"/>
      <c r="I7" s="99"/>
      <c r="J7" s="100"/>
    </row>
    <row r="8" spans="2:10" x14ac:dyDescent="0.25">
      <c r="B8" s="96"/>
      <c r="C8" s="92" t="s">
        <v>10</v>
      </c>
      <c r="D8" s="94" t="s">
        <v>35</v>
      </c>
      <c r="E8" s="92" t="s">
        <v>10</v>
      </c>
      <c r="F8" s="94" t="s">
        <v>35</v>
      </c>
      <c r="G8" s="92" t="s">
        <v>10</v>
      </c>
      <c r="H8" s="94" t="s">
        <v>35</v>
      </c>
      <c r="I8" s="92" t="s">
        <v>10</v>
      </c>
      <c r="J8" s="94" t="s">
        <v>35</v>
      </c>
    </row>
    <row r="9" spans="2:10" x14ac:dyDescent="0.25">
      <c r="B9" s="93"/>
      <c r="C9" s="93"/>
      <c r="D9" s="95"/>
      <c r="E9" s="93"/>
      <c r="F9" s="95"/>
      <c r="G9" s="93"/>
      <c r="H9" s="95"/>
      <c r="I9" s="93"/>
      <c r="J9" s="95" t="s">
        <v>30</v>
      </c>
    </row>
    <row r="10" spans="2:10" x14ac:dyDescent="0.25">
      <c r="B10" s="18" t="s">
        <v>0</v>
      </c>
      <c r="C10" s="19">
        <f>FGP!C43</f>
        <v>0.25681661525054655</v>
      </c>
      <c r="D10" s="20">
        <f>FGP!C41</f>
        <v>271789902.70502013</v>
      </c>
      <c r="E10" s="19">
        <f>'IEPS-BCT'!C43</f>
        <v>0.2568166152505465</v>
      </c>
      <c r="F10" s="20">
        <f>'IEPS-BCT'!C41</f>
        <v>10367846.877687842</v>
      </c>
      <c r="G10" s="19">
        <f>FFM!C27</f>
        <v>0.25213265326283163</v>
      </c>
      <c r="H10" s="20">
        <f>FFM!C25</f>
        <v>56916108.216806456</v>
      </c>
      <c r="I10" s="19">
        <f>FOFIR!C27</f>
        <v>0.25213265326283163</v>
      </c>
      <c r="J10" s="20">
        <f>FOFIR!C25</f>
        <v>15041180.582582142</v>
      </c>
    </row>
    <row r="11" spans="2:10" x14ac:dyDescent="0.25">
      <c r="B11" s="18" t="s">
        <v>11</v>
      </c>
      <c r="C11" s="19">
        <f>FGP!D43</f>
        <v>0.14188889332025739</v>
      </c>
      <c r="D11" s="20">
        <f>FGP!D41</f>
        <v>150161501.32191911</v>
      </c>
      <c r="E11" s="19">
        <f>FGP!D43</f>
        <v>0.14188889332025739</v>
      </c>
      <c r="F11" s="20">
        <f>'IEPS-BCT'!D41</f>
        <v>5728143.0882259989</v>
      </c>
      <c r="G11" s="19">
        <f>FFM!D27</f>
        <v>0.15049282043931808</v>
      </c>
      <c r="H11" s="20">
        <f>FFM!D25</f>
        <v>33972060.116496369</v>
      </c>
      <c r="I11" s="19">
        <f>FOFIR!D27</f>
        <v>0.15049282043931811</v>
      </c>
      <c r="J11" s="20">
        <f>FOFIR!D25</f>
        <v>8977772.8482087944</v>
      </c>
    </row>
    <row r="12" spans="2:10" x14ac:dyDescent="0.25">
      <c r="B12" s="18" t="s">
        <v>12</v>
      </c>
      <c r="C12" s="19">
        <f>FGP!E43</f>
        <v>0.14186423670780968</v>
      </c>
      <c r="D12" s="20">
        <f>FGP!E41</f>
        <v>150135407.14459473</v>
      </c>
      <c r="E12" s="19">
        <f>FGP!E43</f>
        <v>0.14186423670780968</v>
      </c>
      <c r="F12" s="20">
        <f>'IEPS-BCT'!E41</f>
        <v>5727147.6854085801</v>
      </c>
      <c r="G12" s="19">
        <f>FFM!E27</f>
        <v>0.14678102074802402</v>
      </c>
      <c r="H12" s="20">
        <f>FFM!E25</f>
        <v>33134163.119915854</v>
      </c>
      <c r="I12" s="19">
        <f>FOFIR!E27</f>
        <v>0.14678102074802402</v>
      </c>
      <c r="J12" s="20">
        <f>FOFIR!E25</f>
        <v>8756342.3880100194</v>
      </c>
    </row>
    <row r="13" spans="2:10" x14ac:dyDescent="0.25">
      <c r="B13" s="18" t="s">
        <v>3</v>
      </c>
      <c r="C13" s="19">
        <f>FGP!F43</f>
        <v>0.36869021843331035</v>
      </c>
      <c r="D13" s="20">
        <f>FGP!F41</f>
        <v>390186119.76690942</v>
      </c>
      <c r="E13" s="19">
        <f>FGP!F43</f>
        <v>0.36869021843331035</v>
      </c>
      <c r="F13" s="20">
        <f>'IEPS-BCT'!F41</f>
        <v>14884253.98913013</v>
      </c>
      <c r="G13" s="19">
        <f>FFM!F27</f>
        <v>0.3204603064619449</v>
      </c>
      <c r="H13" s="20">
        <f>FFM!F25</f>
        <v>72340306.762114212</v>
      </c>
      <c r="I13" s="19">
        <f>FOFIR!F27</f>
        <v>0.3204603064619449</v>
      </c>
      <c r="J13" s="20">
        <f>FOFIR!F25</f>
        <v>19117322.872175112</v>
      </c>
    </row>
    <row r="14" spans="2:10" x14ac:dyDescent="0.25">
      <c r="B14" s="18" t="s">
        <v>4</v>
      </c>
      <c r="C14" s="19">
        <f>FGP!G43</f>
        <v>9.0740036288075893E-2</v>
      </c>
      <c r="D14" s="20">
        <f>FGP!G41</f>
        <v>96030490.901556492</v>
      </c>
      <c r="E14" s="19">
        <f>'IEPS-BCT'!G43</f>
        <v>9.0740036288075879E-2</v>
      </c>
      <c r="F14" s="20">
        <f>'IEPS-BCT'!G41</f>
        <v>3663231.8395474493</v>
      </c>
      <c r="G14" s="19">
        <f>FFM!G27</f>
        <v>0.13013319908788137</v>
      </c>
      <c r="H14" s="20">
        <f>FFM!G25</f>
        <v>29376104.784667086</v>
      </c>
      <c r="I14" s="19">
        <f>FOFIR!G27</f>
        <v>0.13013319908788137</v>
      </c>
      <c r="J14" s="20">
        <f>FOFIR!G25</f>
        <v>7763202.909023935</v>
      </c>
    </row>
    <row r="15" spans="2:10" x14ac:dyDescent="0.25">
      <c r="B15" s="21" t="s">
        <v>9</v>
      </c>
      <c r="C15" s="22">
        <f t="shared" ref="C15:H15" si="0">SUM(C10:C14)</f>
        <v>0.99999999999999978</v>
      </c>
      <c r="D15" s="23">
        <f t="shared" si="0"/>
        <v>1058303421.8399999</v>
      </c>
      <c r="E15" s="22">
        <f t="shared" si="0"/>
        <v>0.99999999999999978</v>
      </c>
      <c r="F15" s="23">
        <f t="shared" si="0"/>
        <v>40370623.479999997</v>
      </c>
      <c r="G15" s="22">
        <f t="shared" si="0"/>
        <v>1</v>
      </c>
      <c r="H15" s="23">
        <f t="shared" si="0"/>
        <v>225738742.99999997</v>
      </c>
      <c r="I15" s="22">
        <f>SUM(I10:I14)</f>
        <v>1</v>
      </c>
      <c r="J15" s="23">
        <f>SUM(J10:J14)</f>
        <v>59655821.600000001</v>
      </c>
    </row>
    <row r="16" spans="2:10" x14ac:dyDescent="0.25">
      <c r="B16" s="13"/>
      <c r="C16" s="13"/>
      <c r="D16" s="13"/>
      <c r="E16" s="13"/>
      <c r="F16" s="13"/>
      <c r="G16" s="13"/>
      <c r="H16" s="13"/>
    </row>
    <row r="17" spans="2:14" x14ac:dyDescent="0.25">
      <c r="B17" s="13"/>
      <c r="C17" s="13"/>
      <c r="D17" s="13"/>
      <c r="E17" s="13"/>
      <c r="F17" s="13"/>
      <c r="G17" s="13"/>
      <c r="H17" s="13"/>
    </row>
    <row r="18" spans="2:14" x14ac:dyDescent="0.25">
      <c r="B18" s="13"/>
      <c r="C18" s="14"/>
      <c r="D18" s="13"/>
      <c r="E18" s="14"/>
      <c r="F18" s="13"/>
      <c r="G18" s="14"/>
      <c r="H18" s="13"/>
    </row>
    <row r="19" spans="2:14" ht="15" customHeight="1" x14ac:dyDescent="0.25">
      <c r="B19" s="92" t="s">
        <v>5</v>
      </c>
      <c r="C19" s="97" t="s">
        <v>31</v>
      </c>
      <c r="D19" s="98"/>
      <c r="E19" s="97" t="s">
        <v>39</v>
      </c>
      <c r="F19" s="98"/>
      <c r="G19" s="97" t="s">
        <v>40</v>
      </c>
      <c r="H19" s="98"/>
      <c r="I19" s="97" t="s">
        <v>41</v>
      </c>
      <c r="J19" s="98"/>
    </row>
    <row r="20" spans="2:14" ht="30" customHeight="1" x14ac:dyDescent="0.25">
      <c r="B20" s="96"/>
      <c r="C20" s="99"/>
      <c r="D20" s="100"/>
      <c r="E20" s="99"/>
      <c r="F20" s="100"/>
      <c r="G20" s="99"/>
      <c r="H20" s="100"/>
      <c r="I20" s="99"/>
      <c r="J20" s="100"/>
    </row>
    <row r="21" spans="2:14" x14ac:dyDescent="0.25">
      <c r="B21" s="96"/>
      <c r="C21" s="92" t="s">
        <v>10</v>
      </c>
      <c r="D21" s="94" t="s">
        <v>88</v>
      </c>
      <c r="E21" s="92" t="s">
        <v>10</v>
      </c>
      <c r="F21" s="94" t="s">
        <v>87</v>
      </c>
      <c r="G21" s="92" t="s">
        <v>10</v>
      </c>
      <c r="H21" s="94" t="s">
        <v>88</v>
      </c>
      <c r="I21" s="92" t="s">
        <v>10</v>
      </c>
      <c r="J21" s="94" t="s">
        <v>87</v>
      </c>
    </row>
    <row r="22" spans="2:14" x14ac:dyDescent="0.25">
      <c r="B22" s="93"/>
      <c r="C22" s="93"/>
      <c r="D22" s="95"/>
      <c r="E22" s="93"/>
      <c r="F22" s="95" t="s">
        <v>30</v>
      </c>
      <c r="G22" s="93"/>
      <c r="H22" s="95" t="s">
        <v>30</v>
      </c>
      <c r="I22" s="93"/>
      <c r="J22" s="95" t="s">
        <v>30</v>
      </c>
    </row>
    <row r="23" spans="2:14" x14ac:dyDescent="0.25">
      <c r="B23" s="18" t="s">
        <v>0</v>
      </c>
      <c r="C23" s="19">
        <f>'IEPS-GASOLINA'!C30</f>
        <v>0.39032913667254127</v>
      </c>
      <c r="D23" s="20">
        <f>'IEPS-GASOLINA'!C28</f>
        <v>23468814.212214589</v>
      </c>
      <c r="E23" s="19">
        <f>ISAN!C18</f>
        <v>0.89516389018649889</v>
      </c>
      <c r="F23" s="20">
        <f>ISAN!C16</f>
        <v>13581554.550345859</v>
      </c>
      <c r="G23" s="19">
        <f>'Comp. ISAN'!C18</f>
        <v>0.89516389018649889</v>
      </c>
      <c r="H23" s="20">
        <f>'Comp. ISAN'!C16</f>
        <v>2453501.7129098759</v>
      </c>
      <c r="I23" s="19">
        <f>ISTV!C18</f>
        <v>0.40095192313602485</v>
      </c>
      <c r="J23" s="20">
        <f>ISTV!C16</f>
        <v>25907.508513434244</v>
      </c>
    </row>
    <row r="24" spans="2:14" x14ac:dyDescent="0.25">
      <c r="B24" s="18" t="s">
        <v>11</v>
      </c>
      <c r="C24" s="19">
        <f>'IEPS-GASOLINA'!D30</f>
        <v>8.2887259570693053E-2</v>
      </c>
      <c r="D24" s="20">
        <f>'IEPS-GASOLINA'!D28</f>
        <v>4983654.8508961098</v>
      </c>
      <c r="E24" s="19">
        <f>ISAN!D18</f>
        <v>0</v>
      </c>
      <c r="F24" s="20">
        <f>ISAN!D16</f>
        <v>0</v>
      </c>
      <c r="G24" s="19">
        <f>'Comp. ISAN'!D18</f>
        <v>0</v>
      </c>
      <c r="H24" s="20">
        <f>'Comp. ISAN'!D16</f>
        <v>0</v>
      </c>
      <c r="I24" s="19">
        <f>ISTV!D18</f>
        <v>0.12700520538146173</v>
      </c>
      <c r="J24" s="20">
        <f>ISTV!D16</f>
        <v>8206.4413457231494</v>
      </c>
    </row>
    <row r="25" spans="2:14" x14ac:dyDescent="0.25">
      <c r="B25" s="18" t="s">
        <v>12</v>
      </c>
      <c r="C25" s="19">
        <f>'IEPS-GASOLINA'!E30</f>
        <v>7.2459843295086826E-2</v>
      </c>
      <c r="D25" s="20">
        <f>'IEPS-GASOLINA'!E28</f>
        <v>4356699.1043387437</v>
      </c>
      <c r="E25" s="19">
        <f>ISAN!E18</f>
        <v>0</v>
      </c>
      <c r="F25" s="20">
        <f>ISAN!E16</f>
        <v>0</v>
      </c>
      <c r="G25" s="19">
        <f>'Comp. ISAN'!E18</f>
        <v>0</v>
      </c>
      <c r="H25" s="20">
        <f>'Comp. ISAN'!E16</f>
        <v>0</v>
      </c>
      <c r="I25" s="19">
        <f>ISTV!E18</f>
        <v>4.1688846513759967E-2</v>
      </c>
      <c r="J25" s="20">
        <f>ISTV!E16</f>
        <v>2693.7248174866004</v>
      </c>
    </row>
    <row r="26" spans="2:14" x14ac:dyDescent="0.25">
      <c r="B26" s="18" t="s">
        <v>3</v>
      </c>
      <c r="C26" s="19">
        <f>'IEPS-GASOLINA'!F30</f>
        <v>0.43425374883951146</v>
      </c>
      <c r="D26" s="20">
        <f>'IEPS-GASOLINA'!F28</f>
        <v>26109812.45046556</v>
      </c>
      <c r="E26" s="19">
        <f>ISAN!F18</f>
        <v>0.10483610981350112</v>
      </c>
      <c r="F26" s="20">
        <f>ISAN!F16</f>
        <v>1590588.4496541424</v>
      </c>
      <c r="G26" s="19">
        <f>'Comp. ISAN'!F18</f>
        <v>0.10483610981350112</v>
      </c>
      <c r="H26" s="20">
        <f>'Comp. ISAN'!F16</f>
        <v>287339.08709012432</v>
      </c>
      <c r="I26" s="19">
        <f>ISTV!F18</f>
        <v>0.41740613487787215</v>
      </c>
      <c r="J26" s="20">
        <f>ISTV!F16</f>
        <v>26970.697405133709</v>
      </c>
    </row>
    <row r="27" spans="2:14" x14ac:dyDescent="0.25">
      <c r="B27" s="18" t="s">
        <v>4</v>
      </c>
      <c r="C27" s="19">
        <f>'IEPS-GASOLINA'!G30</f>
        <v>2.0070011622167462E-2</v>
      </c>
      <c r="D27" s="20">
        <f>'IEPS-GASOLINA'!G28</f>
        <v>1206723.5820850031</v>
      </c>
      <c r="E27" s="19">
        <f>ISAN!G18</f>
        <v>0</v>
      </c>
      <c r="F27" s="20">
        <f>'Comp. ISAN'!G16</f>
        <v>0</v>
      </c>
      <c r="G27" s="19">
        <f>'Comp. ISAN'!G18</f>
        <v>0</v>
      </c>
      <c r="H27" s="20">
        <f>'Comp. ISAN'!G16</f>
        <v>0</v>
      </c>
      <c r="I27" s="19">
        <f>ISTV!G18</f>
        <v>1.2947890090881398E-2</v>
      </c>
      <c r="J27" s="20">
        <f>ISTV!G16</f>
        <v>836.62791822230156</v>
      </c>
      <c r="N27" s="9"/>
    </row>
    <row r="28" spans="2:14" x14ac:dyDescent="0.25">
      <c r="B28" s="21" t="s">
        <v>9</v>
      </c>
      <c r="C28" s="22">
        <f t="shared" ref="C28" si="1">SUM(C23:C27)</f>
        <v>1</v>
      </c>
      <c r="D28" s="23">
        <f t="shared" ref="D28:J28" si="2">SUM(D23:D27)</f>
        <v>60125704.20000001</v>
      </c>
      <c r="E28" s="22">
        <f t="shared" si="2"/>
        <v>1</v>
      </c>
      <c r="F28" s="23">
        <f t="shared" si="2"/>
        <v>15172143</v>
      </c>
      <c r="G28" s="22">
        <f t="shared" si="2"/>
        <v>1</v>
      </c>
      <c r="H28" s="23">
        <f t="shared" si="2"/>
        <v>2740840.8000000003</v>
      </c>
      <c r="I28" s="22">
        <f t="shared" si="2"/>
        <v>1</v>
      </c>
      <c r="J28" s="23">
        <f t="shared" si="2"/>
        <v>64615.000000000007</v>
      </c>
    </row>
    <row r="29" spans="2:14" x14ac:dyDescent="0.25">
      <c r="B29" s="12"/>
      <c r="C29" s="12"/>
      <c r="D29" s="12"/>
      <c r="E29" s="12"/>
      <c r="F29" s="12"/>
      <c r="G29" s="12"/>
      <c r="H29" s="12"/>
    </row>
    <row r="30" spans="2:14" x14ac:dyDescent="0.25">
      <c r="B30" s="12"/>
      <c r="C30" s="12"/>
      <c r="D30" s="12"/>
      <c r="E30" s="12"/>
      <c r="F30" s="12"/>
      <c r="G30" s="12"/>
      <c r="H30" s="12"/>
    </row>
    <row r="31" spans="2:14" x14ac:dyDescent="0.25">
      <c r="B31" s="12"/>
      <c r="C31" s="12"/>
      <c r="D31" s="12"/>
      <c r="E31" s="12"/>
      <c r="F31" s="12"/>
      <c r="G31" s="12"/>
      <c r="H31" s="12"/>
    </row>
    <row r="32" spans="2:14" ht="15" customHeight="1" x14ac:dyDescent="0.25">
      <c r="B32" s="92" t="s">
        <v>5</v>
      </c>
      <c r="C32" s="97" t="s">
        <v>42</v>
      </c>
      <c r="D32" s="98"/>
      <c r="E32" s="97" t="s">
        <v>164</v>
      </c>
      <c r="F32" s="98"/>
      <c r="G32" s="97" t="s">
        <v>6</v>
      </c>
      <c r="H32" s="98"/>
    </row>
    <row r="33" spans="2:10" ht="33.75" customHeight="1" x14ac:dyDescent="0.25">
      <c r="B33" s="96"/>
      <c r="C33" s="99"/>
      <c r="D33" s="100"/>
      <c r="E33" s="99"/>
      <c r="F33" s="100"/>
      <c r="G33" s="99"/>
      <c r="H33" s="100"/>
    </row>
    <row r="34" spans="2:10" x14ac:dyDescent="0.25">
      <c r="B34" s="96"/>
      <c r="C34" s="92" t="s">
        <v>10</v>
      </c>
      <c r="D34" s="94" t="s">
        <v>29</v>
      </c>
      <c r="E34" s="92" t="s">
        <v>10</v>
      </c>
      <c r="F34" s="94" t="s">
        <v>29</v>
      </c>
      <c r="G34" s="101" t="s">
        <v>10</v>
      </c>
      <c r="H34" s="94" t="s">
        <v>29</v>
      </c>
    </row>
    <row r="35" spans="2:10" x14ac:dyDescent="0.25">
      <c r="B35" s="93"/>
      <c r="C35" s="93"/>
      <c r="D35" s="95" t="s">
        <v>30</v>
      </c>
      <c r="E35" s="93"/>
      <c r="F35" s="95" t="s">
        <v>30</v>
      </c>
      <c r="G35" s="102"/>
      <c r="H35" s="95" t="s">
        <v>30</v>
      </c>
    </row>
    <row r="36" spans="2:10" x14ac:dyDescent="0.25">
      <c r="B36" s="18" t="s">
        <v>0</v>
      </c>
      <c r="C36" s="19">
        <f>'ISR 3-B LCF'!C14</f>
        <v>0</v>
      </c>
      <c r="D36" s="20">
        <f>'ISR 3-B LCF'!C13</f>
        <v>0</v>
      </c>
      <c r="E36" s="19">
        <f>'ISR 126'!C25</f>
        <v>0.20465824431614904</v>
      </c>
      <c r="F36" s="20">
        <f>'ISR 126'!C23</f>
        <v>29315449.773096964</v>
      </c>
      <c r="G36" s="19">
        <f>+H36/H41</f>
        <v>0.25367820004797914</v>
      </c>
      <c r="H36" s="20">
        <f>+D10+F10+H10+J10+D23+F23+H23+J23+D36+F36</f>
        <v>422960266.13917732</v>
      </c>
      <c r="I36" s="65"/>
    </row>
    <row r="37" spans="2:10" x14ac:dyDescent="0.25">
      <c r="B37" s="18" t="s">
        <v>11</v>
      </c>
      <c r="C37" s="19">
        <v>0</v>
      </c>
      <c r="D37" s="20">
        <v>0</v>
      </c>
      <c r="E37" s="19">
        <f>'ISR 126'!D25</f>
        <v>0.16611337008295407</v>
      </c>
      <c r="F37" s="20">
        <f>'ISR 126'!D23</f>
        <v>23794243.782254774</v>
      </c>
      <c r="G37" s="19">
        <f>+H37/H41</f>
        <v>0.13652263028797684</v>
      </c>
      <c r="H37" s="20">
        <f t="shared" ref="H37:H40" si="3">+D11+F11+H11+J11+D24+F24+H24+J24+D37+F37</f>
        <v>227625582.4493469</v>
      </c>
      <c r="I37" s="65"/>
    </row>
    <row r="38" spans="2:10" x14ac:dyDescent="0.25">
      <c r="B38" s="18" t="s">
        <v>12</v>
      </c>
      <c r="C38" s="19">
        <v>0</v>
      </c>
      <c r="D38" s="20">
        <v>0</v>
      </c>
      <c r="E38" s="19">
        <f>'ISR 126'!E25</f>
        <v>0.16545214816562034</v>
      </c>
      <c r="F38" s="20">
        <f>'ISR 126'!E23</f>
        <v>23699529.699412726</v>
      </c>
      <c r="G38" s="19">
        <f>+H38/H41</f>
        <v>0.13543489057666919</v>
      </c>
      <c r="H38" s="20">
        <f t="shared" si="3"/>
        <v>225811982.86649814</v>
      </c>
      <c r="I38" s="65"/>
    </row>
    <row r="39" spans="2:10" x14ac:dyDescent="0.25">
      <c r="B39" s="18" t="s">
        <v>3</v>
      </c>
      <c r="C39" s="19">
        <f>'ISR 3-B LCF'!F14</f>
        <v>0.98316746612026895</v>
      </c>
      <c r="D39" s="20">
        <f>'ISR 3-B LCF'!F16</f>
        <v>60855468.326173425</v>
      </c>
      <c r="E39" s="19">
        <f>'ISR 126'!F25</f>
        <v>0.29707517296356678</v>
      </c>
      <c r="F39" s="20">
        <f>'ISR 126'!F23</f>
        <v>42553342.23621276</v>
      </c>
      <c r="G39" s="19">
        <f>+H39/H41</f>
        <v>0.37662547818372233</v>
      </c>
      <c r="H39" s="20">
        <f t="shared" si="3"/>
        <v>627951524.63733006</v>
      </c>
      <c r="I39" s="65"/>
    </row>
    <row r="40" spans="2:10" x14ac:dyDescent="0.25">
      <c r="B40" s="18" t="s">
        <v>4</v>
      </c>
      <c r="C40" s="19">
        <f>'ISR 3-B LCF'!G14</f>
        <v>1.6832533879731069E-2</v>
      </c>
      <c r="D40" s="20">
        <f>'ISR 3-B LCF'!G16</f>
        <v>1041889.3704950039</v>
      </c>
      <c r="E40" s="19">
        <f>'ISR 126'!G25</f>
        <v>0.16670106447170976</v>
      </c>
      <c r="F40" s="20">
        <f>'ISR 126'!G23</f>
        <v>23878425.70902282</v>
      </c>
      <c r="G40" s="19">
        <f>+H40/H41</f>
        <v>9.7738800903652445E-2</v>
      </c>
      <c r="H40" s="20">
        <f t="shared" si="3"/>
        <v>162960905.724316</v>
      </c>
      <c r="I40" s="65"/>
    </row>
    <row r="41" spans="2:10" x14ac:dyDescent="0.25">
      <c r="B41" s="21" t="s">
        <v>9</v>
      </c>
      <c r="C41" s="22">
        <f t="shared" ref="C41:H41" si="4">SUM(C36:C40)</f>
        <v>1</v>
      </c>
      <c r="D41" s="23">
        <f t="shared" si="4"/>
        <v>61897357.696668431</v>
      </c>
      <c r="E41" s="22">
        <f t="shared" si="4"/>
        <v>1</v>
      </c>
      <c r="F41" s="23">
        <f t="shared" si="4"/>
        <v>143240991.20000005</v>
      </c>
      <c r="G41" s="22">
        <f t="shared" si="4"/>
        <v>1</v>
      </c>
      <c r="H41" s="23">
        <f t="shared" si="4"/>
        <v>1667310261.8166685</v>
      </c>
      <c r="I41" s="65"/>
    </row>
    <row r="42" spans="2:10" x14ac:dyDescent="0.25">
      <c r="B42" s="12"/>
      <c r="C42" s="12"/>
      <c r="D42" s="12"/>
      <c r="E42" s="12"/>
      <c r="F42" s="12"/>
      <c r="G42" s="12"/>
      <c r="H42" s="12"/>
    </row>
    <row r="43" spans="2:10" x14ac:dyDescent="0.25">
      <c r="B43" s="12"/>
      <c r="C43" s="12"/>
      <c r="D43" s="15"/>
      <c r="E43" s="12"/>
      <c r="F43" s="84"/>
      <c r="G43" s="84"/>
      <c r="H43" s="84"/>
      <c r="I43" s="84"/>
      <c r="J43" s="84"/>
    </row>
    <row r="44" spans="2:10" x14ac:dyDescent="0.25">
      <c r="E44" s="12"/>
      <c r="F44" s="12"/>
      <c r="G44" s="12"/>
      <c r="H44" s="12"/>
    </row>
    <row r="45" spans="2:10" x14ac:dyDescent="0.25">
      <c r="E45" s="12"/>
      <c r="F45" s="12"/>
      <c r="G45" s="12"/>
      <c r="H45" s="12"/>
    </row>
    <row r="46" spans="2:10" x14ac:dyDescent="0.25">
      <c r="E46" s="12"/>
      <c r="F46" s="12"/>
      <c r="G46" s="12"/>
      <c r="H46" s="12"/>
    </row>
    <row r="47" spans="2:10" x14ac:dyDescent="0.25">
      <c r="E47" s="12"/>
      <c r="F47" s="12"/>
      <c r="G47" s="12"/>
      <c r="H47" s="12"/>
    </row>
    <row r="48" spans="2:10" x14ac:dyDescent="0.25">
      <c r="E48" s="16"/>
      <c r="F48" s="17"/>
      <c r="G48" s="12"/>
      <c r="H48" s="12"/>
    </row>
    <row r="49" spans="5:8" x14ac:dyDescent="0.25">
      <c r="E49" s="16"/>
      <c r="F49" s="17"/>
      <c r="G49" s="12"/>
      <c r="H49" s="12"/>
    </row>
    <row r="50" spans="5:8" x14ac:dyDescent="0.25">
      <c r="E50" s="16"/>
      <c r="F50" s="17"/>
      <c r="G50" s="12"/>
      <c r="H50" s="12"/>
    </row>
    <row r="51" spans="5:8" x14ac:dyDescent="0.25">
      <c r="E51" s="16"/>
      <c r="F51" s="17"/>
      <c r="G51" s="12"/>
      <c r="H51" s="12"/>
    </row>
    <row r="52" spans="5:8" x14ac:dyDescent="0.25">
      <c r="E52" s="16"/>
      <c r="F52" s="17"/>
      <c r="G52" s="12"/>
      <c r="H52" s="12"/>
    </row>
    <row r="53" spans="5:8" x14ac:dyDescent="0.25">
      <c r="E53" s="12"/>
      <c r="F53" s="17"/>
      <c r="G53" s="12"/>
      <c r="H53" s="12"/>
    </row>
  </sheetData>
  <mergeCells count="39">
    <mergeCell ref="C34:C35"/>
    <mergeCell ref="G32:H33"/>
    <mergeCell ref="B19:B22"/>
    <mergeCell ref="C21:C22"/>
    <mergeCell ref="D21:D22"/>
    <mergeCell ref="D34:D35"/>
    <mergeCell ref="G34:G35"/>
    <mergeCell ref="H34:H35"/>
    <mergeCell ref="E21:E22"/>
    <mergeCell ref="F21:F22"/>
    <mergeCell ref="G21:G22"/>
    <mergeCell ref="H21:H22"/>
    <mergeCell ref="E32:F33"/>
    <mergeCell ref="E34:E35"/>
    <mergeCell ref="F34:F35"/>
    <mergeCell ref="B32:B35"/>
    <mergeCell ref="J21:J22"/>
    <mergeCell ref="E19:F20"/>
    <mergeCell ref="C19:D20"/>
    <mergeCell ref="I19:J20"/>
    <mergeCell ref="C32:D33"/>
    <mergeCell ref="I21:I22"/>
    <mergeCell ref="G19:H20"/>
    <mergeCell ref="B3:J3"/>
    <mergeCell ref="B2:J2"/>
    <mergeCell ref="B4:J4"/>
    <mergeCell ref="I8:I9"/>
    <mergeCell ref="J8:J9"/>
    <mergeCell ref="B6:B9"/>
    <mergeCell ref="C6:D7"/>
    <mergeCell ref="E6:F7"/>
    <mergeCell ref="G6:H7"/>
    <mergeCell ref="C8:C9"/>
    <mergeCell ref="E8:E9"/>
    <mergeCell ref="D8:D9"/>
    <mergeCell ref="F8:F9"/>
    <mergeCell ref="G8:G9"/>
    <mergeCell ref="I6:J7"/>
    <mergeCell ref="H8:H9"/>
  </mergeCells>
  <pageMargins left="0.7" right="0.7" top="0.75" bottom="0.75" header="0.3" footer="0.3"/>
  <pageSetup scale="71" orientation="portrait" r:id="rId1"/>
  <ignoredErrors>
    <ignoredError sqref="D11:D13 G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9"/>
  <sheetViews>
    <sheetView showGridLines="0" view="pageBreakPreview" zoomScaleNormal="93" zoomScaleSheetLayoutView="100" workbookViewId="0">
      <selection activeCell="G50" sqref="G50"/>
    </sheetView>
  </sheetViews>
  <sheetFormatPr baseColWidth="10" defaultRowHeight="15" x14ac:dyDescent="0.25"/>
  <cols>
    <col min="1" max="1" width="18" bestFit="1" customWidth="1"/>
    <col min="2" max="2" width="50.5703125" customWidth="1"/>
    <col min="3" max="8" width="21.7109375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95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3" t="s">
        <v>116</v>
      </c>
      <c r="D5" s="103" t="s">
        <v>36</v>
      </c>
      <c r="E5" s="103" t="s">
        <v>37</v>
      </c>
    </row>
    <row r="6" spans="1:16" ht="48.75" customHeight="1" x14ac:dyDescent="0.25">
      <c r="C6" s="104"/>
      <c r="D6" s="104"/>
      <c r="E6" s="104"/>
    </row>
    <row r="7" spans="1:16" ht="14.25" customHeight="1" x14ac:dyDescent="0.25">
      <c r="A7" s="4"/>
      <c r="C7" s="105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Captura!K5</f>
        <v>4409597591</v>
      </c>
      <c r="D8" s="31">
        <f>Captura!L5</f>
        <v>0.24</v>
      </c>
      <c r="E8" s="38">
        <f>+C8*D8</f>
        <v>1058303421.8399999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3" t="s">
        <v>51</v>
      </c>
      <c r="C12" s="44">
        <f>C14*($E$8*39%)</f>
        <v>151067088.50776312</v>
      </c>
      <c r="D12" s="44">
        <f>D14*($E$8*39%)</f>
        <v>37746482.765680969</v>
      </c>
      <c r="E12" s="44">
        <f>E14*($E$8*39%)</f>
        <v>33094662.078366861</v>
      </c>
      <c r="F12" s="44">
        <f>F14*($E$8*39%)</f>
        <v>181498545.76547855</v>
      </c>
      <c r="G12" s="44">
        <f>G14*($E$8*39%)</f>
        <v>9331555.4003104977</v>
      </c>
      <c r="H12" s="45">
        <f>SUM(C12:G12)</f>
        <v>412738334.5176</v>
      </c>
    </row>
    <row r="13" spans="1:16" ht="15.75" x14ac:dyDescent="0.25">
      <c r="B13" s="46" t="s">
        <v>113</v>
      </c>
      <c r="C13" s="47">
        <f>Captura!C5</f>
        <v>292241</v>
      </c>
      <c r="D13" s="47">
        <f>Captura!D5</f>
        <v>73021</v>
      </c>
      <c r="E13" s="47">
        <f>Captura!E5</f>
        <v>64022</v>
      </c>
      <c r="F13" s="47">
        <f>Captura!F5</f>
        <v>351111</v>
      </c>
      <c r="G13" s="47">
        <f>Captura!G5</f>
        <v>18052</v>
      </c>
      <c r="H13" s="47">
        <f>SUM(C13:G13)</f>
        <v>798447</v>
      </c>
      <c r="K13" s="66"/>
    </row>
    <row r="14" spans="1:16" ht="15.75" x14ac:dyDescent="0.25">
      <c r="B14" s="46" t="s">
        <v>66</v>
      </c>
      <c r="C14" s="48">
        <f>(C13/$H$13)</f>
        <v>0.36601177034919036</v>
      </c>
      <c r="D14" s="49">
        <f>(D13/$H$13)</f>
        <v>9.1453784659470197E-2</v>
      </c>
      <c r="E14" s="49">
        <f>(E13/$H$13)</f>
        <v>8.0183155550712815E-2</v>
      </c>
      <c r="F14" s="49">
        <f>(F13/$H$13)</f>
        <v>0.43974239993387165</v>
      </c>
      <c r="G14" s="49">
        <f>(G13/$H$13)</f>
        <v>2.2608889506754989E-2</v>
      </c>
      <c r="H14" s="49">
        <f>SUM(C14:G14)</f>
        <v>1</v>
      </c>
    </row>
    <row r="15" spans="1:16" ht="15.75" x14ac:dyDescent="0.25">
      <c r="B15" s="42"/>
      <c r="C15" s="42"/>
      <c r="D15" s="42"/>
      <c r="E15" s="42"/>
      <c r="F15" s="42"/>
      <c r="G15" s="42"/>
      <c r="H15" s="42"/>
    </row>
    <row r="16" spans="1:16" ht="15.75" x14ac:dyDescent="0.25">
      <c r="B16" s="50" t="s">
        <v>52</v>
      </c>
      <c r="C16" s="44">
        <f>C20*($E$8*20%)</f>
        <v>47261972.773147263</v>
      </c>
      <c r="D16" s="44">
        <f t="shared" ref="D16:G16" si="0">D20*($E$8*20%)</f>
        <v>6469800.4777645832</v>
      </c>
      <c r="E16" s="44">
        <f t="shared" si="0"/>
        <v>5770027.0600546757</v>
      </c>
      <c r="F16" s="44">
        <f t="shared" si="0"/>
        <v>145067124.59665257</v>
      </c>
      <c r="G16" s="44">
        <f t="shared" si="0"/>
        <v>7091759.4603808997</v>
      </c>
      <c r="H16" s="44">
        <f>SUM(C16:G16)</f>
        <v>211660684.368</v>
      </c>
    </row>
    <row r="17" spans="2:8" ht="15.75" x14ac:dyDescent="0.25">
      <c r="B17" s="51" t="s">
        <v>114</v>
      </c>
      <c r="C17" s="47">
        <f>Captura!C6</f>
        <v>429913282</v>
      </c>
      <c r="D17" s="47">
        <f>Captura!D6</f>
        <v>55102338</v>
      </c>
      <c r="E17" s="47">
        <f>Captura!E6</f>
        <v>46570622</v>
      </c>
      <c r="F17" s="47">
        <f>Captura!F6</f>
        <v>1368623310</v>
      </c>
      <c r="G17" s="47">
        <f>Captura!G6</f>
        <v>61578813</v>
      </c>
      <c r="H17" s="52">
        <f>SUM(C17:G17)</f>
        <v>1961788365</v>
      </c>
    </row>
    <row r="18" spans="2:8" ht="15.75" x14ac:dyDescent="0.25">
      <c r="B18" s="51" t="s">
        <v>115</v>
      </c>
      <c r="C18" s="47">
        <f>Captura!C7</f>
        <v>355856808</v>
      </c>
      <c r="D18" s="47">
        <f>Captura!D7</f>
        <v>52463542.25</v>
      </c>
      <c r="E18" s="47">
        <f>Captura!E7</f>
        <v>49360936</v>
      </c>
      <c r="F18" s="47">
        <f>Captura!F7</f>
        <v>1043239777</v>
      </c>
      <c r="G18" s="47">
        <f>Captura!G7</f>
        <v>56327659</v>
      </c>
      <c r="H18" s="52">
        <f>SUM(C18:G18)</f>
        <v>1557248722.25</v>
      </c>
    </row>
    <row r="19" spans="2:8" ht="15.75" x14ac:dyDescent="0.25">
      <c r="B19" s="51" t="s">
        <v>50</v>
      </c>
      <c r="C19" s="47">
        <f>+C17+C18</f>
        <v>785770090</v>
      </c>
      <c r="D19" s="47">
        <f t="shared" ref="D19:G19" si="1">+D17+D18</f>
        <v>107565880.25</v>
      </c>
      <c r="E19" s="47">
        <f t="shared" si="1"/>
        <v>95931558</v>
      </c>
      <c r="F19" s="47">
        <f t="shared" si="1"/>
        <v>2411863087</v>
      </c>
      <c r="G19" s="47">
        <f t="shared" si="1"/>
        <v>117906472</v>
      </c>
      <c r="H19" s="52">
        <f>SUM(C19:G19)</f>
        <v>3519037087.25</v>
      </c>
    </row>
    <row r="20" spans="2:8" ht="15.75" x14ac:dyDescent="0.25">
      <c r="B20" s="46" t="s">
        <v>67</v>
      </c>
      <c r="C20" s="49">
        <f>C19/$H$19</f>
        <v>0.22329122158074521</v>
      </c>
      <c r="D20" s="49">
        <f>D19/$H$19</f>
        <v>3.0566850414770377E-2</v>
      </c>
      <c r="E20" s="49">
        <f>E19/$H$19</f>
        <v>2.7260740828101655E-2</v>
      </c>
      <c r="F20" s="49">
        <f>F19/$H$19</f>
        <v>0.68537586481783386</v>
      </c>
      <c r="G20" s="49">
        <f>G19/$H$19</f>
        <v>3.3505322358548841E-2</v>
      </c>
      <c r="H20" s="49">
        <f>SUM(C20:G20)</f>
        <v>1</v>
      </c>
    </row>
    <row r="21" spans="2:8" ht="15.75" x14ac:dyDescent="0.25">
      <c r="B21" s="42"/>
      <c r="C21" s="42"/>
      <c r="D21" s="42"/>
      <c r="E21" s="42"/>
      <c r="F21" s="42"/>
      <c r="G21" s="42"/>
      <c r="H21" s="42"/>
    </row>
    <row r="22" spans="2:8" ht="15.75" x14ac:dyDescent="0.25">
      <c r="B22" s="50" t="s">
        <v>53</v>
      </c>
      <c r="C22" s="45">
        <f>C23*($E$8*17%)</f>
        <v>35982316.342560001</v>
      </c>
      <c r="D22" s="45">
        <f t="shared" ref="D22:G22" si="2">D23*($E$8*17%)</f>
        <v>35982316.342560001</v>
      </c>
      <c r="E22" s="45">
        <f t="shared" si="2"/>
        <v>35982316.342560001</v>
      </c>
      <c r="F22" s="45">
        <f t="shared" si="2"/>
        <v>35982316.342560001</v>
      </c>
      <c r="G22" s="45">
        <f t="shared" si="2"/>
        <v>35982316.342560001</v>
      </c>
      <c r="H22" s="44">
        <f>SUM(C22:G22)</f>
        <v>179911581.7128</v>
      </c>
    </row>
    <row r="23" spans="2:8" ht="17.25" customHeight="1" x14ac:dyDescent="0.25">
      <c r="B23" s="46" t="s">
        <v>68</v>
      </c>
      <c r="C23" s="53">
        <v>0.2</v>
      </c>
      <c r="D23" s="53">
        <v>0.2</v>
      </c>
      <c r="E23" s="53">
        <v>0.2</v>
      </c>
      <c r="F23" s="53">
        <v>0.2</v>
      </c>
      <c r="G23" s="53">
        <v>0.2</v>
      </c>
      <c r="H23" s="54">
        <f>SUM(C23:G23)</f>
        <v>1</v>
      </c>
    </row>
    <row r="24" spans="2:8" ht="13.5" customHeight="1" x14ac:dyDescent="0.25">
      <c r="B24" s="42"/>
      <c r="C24" s="42"/>
      <c r="D24" s="42"/>
      <c r="E24" s="42"/>
      <c r="F24" s="42"/>
      <c r="G24" s="42"/>
      <c r="H24" s="42"/>
    </row>
    <row r="25" spans="2:8" ht="15.75" x14ac:dyDescent="0.25">
      <c r="B25" s="50" t="s">
        <v>55</v>
      </c>
      <c r="C25" s="45">
        <f>C27*($E$8*13%)</f>
        <v>5857908.9140978977</v>
      </c>
      <c r="D25" s="45">
        <f t="shared" ref="D25:G25" si="3">D27*($E$8*13%)</f>
        <v>42792097.307663754</v>
      </c>
      <c r="E25" s="45">
        <f t="shared" si="3"/>
        <v>47981808.182897508</v>
      </c>
      <c r="F25" s="45">
        <f t="shared" si="3"/>
        <v>1908470.5261474517</v>
      </c>
      <c r="G25" s="45">
        <f t="shared" si="3"/>
        <v>39039159.908393383</v>
      </c>
      <c r="H25" s="45">
        <f>SUM(C25:G25)</f>
        <v>137579444.83919999</v>
      </c>
    </row>
    <row r="26" spans="2:8" ht="15.75" x14ac:dyDescent="0.25">
      <c r="B26" s="51" t="s">
        <v>54</v>
      </c>
      <c r="C26" s="49">
        <f>1/C20</f>
        <v>4.4784563984231065</v>
      </c>
      <c r="D26" s="49">
        <f t="shared" ref="D26:G26" si="4">1/D20</f>
        <v>32.715179563177514</v>
      </c>
      <c r="E26" s="49">
        <f t="shared" si="4"/>
        <v>36.682788861304637</v>
      </c>
      <c r="F26" s="49">
        <f t="shared" si="4"/>
        <v>1.4590534206596115</v>
      </c>
      <c r="G26" s="49">
        <f t="shared" si="4"/>
        <v>29.846004443674641</v>
      </c>
      <c r="H26" s="49">
        <f>SUM(C26:G26)</f>
        <v>105.18148268723951</v>
      </c>
    </row>
    <row r="27" spans="2:8" ht="15.75" x14ac:dyDescent="0.25">
      <c r="B27" s="46" t="s">
        <v>85</v>
      </c>
      <c r="C27" s="55">
        <f>C26/$H$26</f>
        <v>4.2578372960760967E-2</v>
      </c>
      <c r="D27" s="55">
        <f t="shared" ref="D27:H27" si="5">D26/$H$26</f>
        <v>0.31103554282893259</v>
      </c>
      <c r="E27" s="55">
        <f t="shared" si="5"/>
        <v>0.3487570998631202</v>
      </c>
      <c r="F27" s="55">
        <f t="shared" si="5"/>
        <v>1.3871770803974625E-2</v>
      </c>
      <c r="G27" s="55">
        <f t="shared" si="5"/>
        <v>0.28375721354321165</v>
      </c>
      <c r="H27" s="55">
        <f t="shared" si="5"/>
        <v>1</v>
      </c>
    </row>
    <row r="28" spans="2:8" ht="15.75" x14ac:dyDescent="0.25">
      <c r="B28" s="42"/>
      <c r="C28" s="42"/>
      <c r="D28" s="42"/>
      <c r="E28" s="42"/>
      <c r="F28" s="42"/>
      <c r="G28" s="42"/>
      <c r="H28" s="42"/>
    </row>
    <row r="29" spans="2:8" ht="15.75" x14ac:dyDescent="0.25">
      <c r="B29" s="50" t="s">
        <v>155</v>
      </c>
      <c r="C29" s="45">
        <f>C31*($E$8*5%)</f>
        <v>14816247.905760001</v>
      </c>
      <c r="D29" s="45">
        <f t="shared" ref="D29:G29" si="6">D31*($E$8*5%)</f>
        <v>14816247.905760001</v>
      </c>
      <c r="E29" s="45">
        <f t="shared" si="6"/>
        <v>14816247.905760001</v>
      </c>
      <c r="F29" s="45">
        <f t="shared" si="6"/>
        <v>8466427.3747199997</v>
      </c>
      <c r="G29" s="45">
        <f t="shared" si="6"/>
        <v>0</v>
      </c>
      <c r="H29" s="45">
        <f>H31*($E$8*5%)</f>
        <v>52915171.092</v>
      </c>
    </row>
    <row r="30" spans="2:8" ht="15.75" x14ac:dyDescent="0.25">
      <c r="B30" s="51" t="s">
        <v>46</v>
      </c>
      <c r="C30" s="56">
        <f>Captura!C8</f>
        <v>7</v>
      </c>
      <c r="D30" s="56">
        <f>Captura!D8</f>
        <v>7</v>
      </c>
      <c r="E30" s="56">
        <f>Captura!E8</f>
        <v>7</v>
      </c>
      <c r="F30" s="56">
        <f>Captura!F8</f>
        <v>4</v>
      </c>
      <c r="G30" s="56">
        <f>Captura!G8</f>
        <v>0</v>
      </c>
      <c r="H30" s="56">
        <f>Captura!H8</f>
        <v>25</v>
      </c>
    </row>
    <row r="31" spans="2:8" ht="15.75" x14ac:dyDescent="0.25">
      <c r="B31" s="46" t="s">
        <v>69</v>
      </c>
      <c r="C31" s="49">
        <f>C30/$H$30</f>
        <v>0.28000000000000003</v>
      </c>
      <c r="D31" s="49">
        <f t="shared" ref="D31:H31" si="7">D30/$H$30</f>
        <v>0.28000000000000003</v>
      </c>
      <c r="E31" s="49">
        <f t="shared" si="7"/>
        <v>0.28000000000000003</v>
      </c>
      <c r="F31" s="49">
        <f t="shared" si="7"/>
        <v>0.16</v>
      </c>
      <c r="G31" s="49">
        <f t="shared" si="7"/>
        <v>0</v>
      </c>
      <c r="H31" s="49">
        <f t="shared" si="7"/>
        <v>1</v>
      </c>
    </row>
    <row r="32" spans="2:8" ht="15.75" x14ac:dyDescent="0.25">
      <c r="B32" s="42"/>
      <c r="C32" s="42"/>
      <c r="D32" s="42"/>
      <c r="E32" s="42"/>
      <c r="F32" s="42"/>
      <c r="G32" s="42"/>
      <c r="H32" s="42"/>
    </row>
    <row r="33" spans="1:8" ht="15.75" x14ac:dyDescent="0.25">
      <c r="B33" s="50" t="s">
        <v>156</v>
      </c>
      <c r="C33" s="45">
        <f>C35*($E$8*5%)</f>
        <v>14597288.577103449</v>
      </c>
      <c r="D33" s="45">
        <f t="shared" ref="D33:H33" si="8">D35*($E$8*5%)</f>
        <v>9731525.7180689648</v>
      </c>
      <c r="E33" s="45">
        <f t="shared" si="8"/>
        <v>7906864.6459310353</v>
      </c>
      <c r="F33" s="45">
        <f t="shared" si="8"/>
        <v>16726059.827931035</v>
      </c>
      <c r="G33" s="45">
        <f t="shared" si="8"/>
        <v>3953432.3229655176</v>
      </c>
      <c r="H33" s="45">
        <f t="shared" si="8"/>
        <v>52915171.092</v>
      </c>
    </row>
    <row r="34" spans="1:8" ht="15.75" x14ac:dyDescent="0.25">
      <c r="B34" s="57" t="s">
        <v>62</v>
      </c>
      <c r="C34" s="42">
        <f>Captura!C9</f>
        <v>48</v>
      </c>
      <c r="D34" s="42">
        <f>Captura!D9</f>
        <v>32</v>
      </c>
      <c r="E34" s="64">
        <f>Captura!E9</f>
        <v>26</v>
      </c>
      <c r="F34" s="42">
        <f>Captura!F9</f>
        <v>55</v>
      </c>
      <c r="G34" s="42">
        <f>Captura!G9</f>
        <v>13</v>
      </c>
      <c r="H34" s="42">
        <f>Captura!H9</f>
        <v>174</v>
      </c>
    </row>
    <row r="35" spans="1:8" ht="15.75" x14ac:dyDescent="0.25">
      <c r="B35" s="57" t="s">
        <v>63</v>
      </c>
      <c r="C35" s="49">
        <f>C34/$H$34</f>
        <v>0.27586206896551724</v>
      </c>
      <c r="D35" s="49">
        <f t="shared" ref="D35:H35" si="9">D34/$H$34</f>
        <v>0.18390804597701149</v>
      </c>
      <c r="E35" s="49">
        <f t="shared" si="9"/>
        <v>0.14942528735632185</v>
      </c>
      <c r="F35" s="49">
        <f t="shared" si="9"/>
        <v>0.31609195402298851</v>
      </c>
      <c r="G35" s="49">
        <f t="shared" si="9"/>
        <v>7.4712643678160925E-2</v>
      </c>
      <c r="H35" s="49">
        <f t="shared" si="9"/>
        <v>1</v>
      </c>
    </row>
    <row r="36" spans="1:8" ht="25.5" customHeight="1" x14ac:dyDescent="0.25">
      <c r="B36" s="57"/>
      <c r="C36" s="42"/>
      <c r="D36" s="42"/>
      <c r="E36" s="42"/>
      <c r="F36" s="42"/>
      <c r="G36" s="42"/>
      <c r="H36" s="42"/>
    </row>
    <row r="37" spans="1:8" ht="15" customHeight="1" x14ac:dyDescent="0.25">
      <c r="B37" s="50" t="s">
        <v>157</v>
      </c>
      <c r="C37" s="44">
        <f>C39*($E$8*1%)</f>
        <v>2207079.6845884351</v>
      </c>
      <c r="D37" s="44">
        <f t="shared" ref="D37:H37" si="10">D39*($E$8*1%)</f>
        <v>2623030.8044208535</v>
      </c>
      <c r="E37" s="44">
        <f t="shared" si="10"/>
        <v>4583480.9290246572</v>
      </c>
      <c r="F37" s="44">
        <f t="shared" si="10"/>
        <v>537175.33341984823</v>
      </c>
      <c r="G37" s="44">
        <f t="shared" si="10"/>
        <v>632267.46694620338</v>
      </c>
      <c r="H37" s="44">
        <f t="shared" si="10"/>
        <v>10583034.2184</v>
      </c>
    </row>
    <row r="38" spans="1:8" ht="15.75" x14ac:dyDescent="0.25">
      <c r="B38" s="57" t="s">
        <v>64</v>
      </c>
      <c r="C38" s="58">
        <f>Captura!C10</f>
        <v>15413.7</v>
      </c>
      <c r="D38" s="58">
        <f>Captura!D10</f>
        <v>18318.599999999999</v>
      </c>
      <c r="E38" s="58">
        <f>Captura!E10</f>
        <v>32009.9</v>
      </c>
      <c r="F38" s="58">
        <f>Captura!F10</f>
        <v>3751.5</v>
      </c>
      <c r="G38" s="58">
        <f>Captura!G10</f>
        <v>4415.6000000000004</v>
      </c>
      <c r="H38" s="58">
        <f>Captura!H10</f>
        <v>73909.300000000017</v>
      </c>
    </row>
    <row r="39" spans="1:8" ht="15.75" x14ac:dyDescent="0.25">
      <c r="B39" s="57" t="s">
        <v>65</v>
      </c>
      <c r="C39" s="49">
        <f>C38/$H$38</f>
        <v>0.20854885650384994</v>
      </c>
      <c r="D39" s="49">
        <f t="shared" ref="D39:H39" si="11">D38/$H$38</f>
        <v>0.24785243534981383</v>
      </c>
      <c r="E39" s="49">
        <f t="shared" si="11"/>
        <v>0.43309705273896509</v>
      </c>
      <c r="F39" s="49">
        <f t="shared" si="11"/>
        <v>5.0758158986758083E-2</v>
      </c>
      <c r="G39" s="49">
        <f t="shared" si="11"/>
        <v>5.9743496420612822E-2</v>
      </c>
      <c r="H39" s="49">
        <f t="shared" si="11"/>
        <v>1</v>
      </c>
    </row>
    <row r="40" spans="1:8" ht="15.75" x14ac:dyDescent="0.25">
      <c r="B40" s="42"/>
      <c r="C40" s="42"/>
      <c r="D40" s="42"/>
      <c r="E40" s="42"/>
      <c r="F40" s="42"/>
      <c r="G40" s="42"/>
      <c r="H40" s="42"/>
    </row>
    <row r="41" spans="1:8" ht="31.5" x14ac:dyDescent="0.25">
      <c r="A41" t="s">
        <v>45</v>
      </c>
      <c r="B41" s="59" t="s">
        <v>71</v>
      </c>
      <c r="C41" s="60">
        <f>+C12+C16+C22+C25+C29+C33+C37</f>
        <v>271789902.70502013</v>
      </c>
      <c r="D41" s="60">
        <f t="shared" ref="D41:H41" si="12">+D12+D16+D22+D25+D29+D33+D37</f>
        <v>150161501.32191911</v>
      </c>
      <c r="E41" s="60">
        <f t="shared" si="12"/>
        <v>150135407.14459473</v>
      </c>
      <c r="F41" s="60">
        <f t="shared" si="12"/>
        <v>390186119.76690942</v>
      </c>
      <c r="G41" s="60">
        <f t="shared" si="12"/>
        <v>96030490.901556492</v>
      </c>
      <c r="H41" s="60">
        <f t="shared" si="12"/>
        <v>1058303421.84</v>
      </c>
    </row>
    <row r="42" spans="1:8" ht="15.75" x14ac:dyDescent="0.25">
      <c r="B42" s="50"/>
      <c r="C42" s="42"/>
      <c r="D42" s="42"/>
      <c r="E42" s="42"/>
      <c r="F42" s="42"/>
      <c r="G42" s="42"/>
      <c r="H42" s="42"/>
    </row>
    <row r="43" spans="1:8" ht="15.75" x14ac:dyDescent="0.25">
      <c r="B43" s="50" t="s">
        <v>70</v>
      </c>
      <c r="C43" s="61">
        <f>C41/$H$41</f>
        <v>0.25681661525054655</v>
      </c>
      <c r="D43" s="61">
        <f t="shared" ref="D43:H43" si="13">D41/$H$41</f>
        <v>0.14188889332025739</v>
      </c>
      <c r="E43" s="61">
        <f t="shared" si="13"/>
        <v>0.14186423670780968</v>
      </c>
      <c r="F43" s="61">
        <f t="shared" si="13"/>
        <v>0.36869021843331035</v>
      </c>
      <c r="G43" s="61">
        <f t="shared" si="13"/>
        <v>9.0740036288075893E-2</v>
      </c>
      <c r="H43" s="61">
        <f t="shared" si="13"/>
        <v>1</v>
      </c>
    </row>
    <row r="55" spans="9:16" x14ac:dyDescent="0.25">
      <c r="I55" s="25"/>
      <c r="J55" s="25"/>
      <c r="K55" s="25"/>
      <c r="L55" s="25"/>
      <c r="M55" s="25"/>
      <c r="N55" s="25"/>
      <c r="O55" s="25"/>
      <c r="P55" s="24"/>
    </row>
    <row r="58" spans="9:16" x14ac:dyDescent="0.25">
      <c r="O58" s="5"/>
    </row>
    <row r="59" spans="9:16" x14ac:dyDescent="0.25">
      <c r="I59" s="27"/>
      <c r="J59" s="27"/>
      <c r="K59" s="27"/>
      <c r="L59" s="27"/>
      <c r="M59" s="27"/>
      <c r="N59" s="27"/>
      <c r="O59" s="28"/>
    </row>
  </sheetData>
  <mergeCells count="5">
    <mergeCell ref="D5:D7"/>
    <mergeCell ref="E5:E7"/>
    <mergeCell ref="B3:H4"/>
    <mergeCell ref="C5:C7"/>
    <mergeCell ref="B2:P2"/>
  </mergeCells>
  <pageMargins left="0.7" right="0.7" top="0.75" bottom="0.75" header="0.3" footer="0.3"/>
  <pageSetup paperSize="9" scale="44" orientation="portrait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9"/>
  <sheetViews>
    <sheetView showGridLines="0" view="pageBreakPreview" topLeftCell="A12" zoomScale="60" zoomScaleNormal="100" workbookViewId="0">
      <selection activeCell="N48" sqref="N48"/>
    </sheetView>
  </sheetViews>
  <sheetFormatPr baseColWidth="10" defaultRowHeight="15" x14ac:dyDescent="0.25"/>
  <cols>
    <col min="1" max="1" width="18" bestFit="1" customWidth="1"/>
    <col min="2" max="2" width="50.5703125" customWidth="1"/>
    <col min="3" max="8" width="21.7109375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96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3" t="s">
        <v>134</v>
      </c>
      <c r="D5" s="103" t="s">
        <v>36</v>
      </c>
      <c r="E5" s="103" t="s">
        <v>37</v>
      </c>
    </row>
    <row r="6" spans="1:16" ht="48.75" customHeight="1" x14ac:dyDescent="0.25">
      <c r="C6" s="104"/>
      <c r="D6" s="104"/>
      <c r="E6" s="104"/>
    </row>
    <row r="7" spans="1:16" ht="14.25" customHeight="1" x14ac:dyDescent="0.25">
      <c r="A7" s="4"/>
      <c r="C7" s="105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Captura!K8</f>
        <v>183502834</v>
      </c>
      <c r="D8" s="62">
        <f>Captura!L8</f>
        <v>0.22</v>
      </c>
      <c r="E8" s="38">
        <f>+C8*D8</f>
        <v>40370623.479999997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3" t="s">
        <v>51</v>
      </c>
      <c r="C12" s="44">
        <f>C14*($E$8*39%)</f>
        <v>5762688.1143060029</v>
      </c>
      <c r="D12" s="44">
        <f>D14*($E$8*39%)</f>
        <v>1439898.0594603037</v>
      </c>
      <c r="E12" s="44">
        <f>E14*($E$8*39%)</f>
        <v>1262447.1530486785</v>
      </c>
      <c r="F12" s="44">
        <f>F14*($E$8*39%)</f>
        <v>6923543.1938095447</v>
      </c>
      <c r="G12" s="44">
        <f>G14*($E$8*39%)</f>
        <v>355966.63657547015</v>
      </c>
      <c r="H12" s="45">
        <f>SUM(C12:G12)</f>
        <v>15744543.157199999</v>
      </c>
    </row>
    <row r="13" spans="1:16" ht="15.75" x14ac:dyDescent="0.25">
      <c r="B13" s="46" t="str">
        <f>Tabla35[[#This Row],[Concepto]]</f>
        <v>a) Censo de Población y vivienda 2020</v>
      </c>
      <c r="C13" s="47">
        <f>Captura!C5</f>
        <v>292241</v>
      </c>
      <c r="D13" s="47">
        <f>Captura!D5</f>
        <v>73021</v>
      </c>
      <c r="E13" s="47">
        <f>Captura!E5</f>
        <v>64022</v>
      </c>
      <c r="F13" s="47">
        <f>Captura!F5</f>
        <v>351111</v>
      </c>
      <c r="G13" s="47">
        <f>Captura!G5</f>
        <v>18052</v>
      </c>
      <c r="H13" s="47">
        <f>SUM(C13:G13)</f>
        <v>798447</v>
      </c>
    </row>
    <row r="14" spans="1:16" ht="15.75" x14ac:dyDescent="0.25">
      <c r="B14" s="46" t="s">
        <v>66</v>
      </c>
      <c r="C14" s="48">
        <f>(C13/$H$13)</f>
        <v>0.36601177034919036</v>
      </c>
      <c r="D14" s="49">
        <f>(D13/$H$13)</f>
        <v>9.1453784659470197E-2</v>
      </c>
      <c r="E14" s="49">
        <f>(E13/$H$13)</f>
        <v>8.0183155550712815E-2</v>
      </c>
      <c r="F14" s="49">
        <f>(F13/$H$13)</f>
        <v>0.43974239993387165</v>
      </c>
      <c r="G14" s="49">
        <f>(G13/$H$13)</f>
        <v>2.2608889506754989E-2</v>
      </c>
      <c r="H14" s="49">
        <f>SUM(C14:G14)</f>
        <v>1</v>
      </c>
    </row>
    <row r="15" spans="1:16" ht="15.75" x14ac:dyDescent="0.25">
      <c r="B15" s="42"/>
      <c r="C15" s="42"/>
      <c r="D15" s="42"/>
      <c r="E15" s="42"/>
      <c r="F15" s="42"/>
      <c r="G15" s="42"/>
      <c r="H15" s="42"/>
    </row>
    <row r="16" spans="1:16" ht="15.75" x14ac:dyDescent="0.25">
      <c r="B16" s="50" t="s">
        <v>52</v>
      </c>
      <c r="C16" s="44">
        <f>C20*($E$8*20%)</f>
        <v>1802881.166565103</v>
      </c>
      <c r="D16" s="44">
        <f t="shared" ref="D16:G16" si="0">D20*($E$8*20%)</f>
        <v>246800.56181283534</v>
      </c>
      <c r="E16" s="44">
        <f t="shared" si="0"/>
        <v>220106.62075143107</v>
      </c>
      <c r="F16" s="44">
        <f t="shared" si="0"/>
        <v>5533810.1961680297</v>
      </c>
      <c r="G16" s="44">
        <f t="shared" si="0"/>
        <v>270526.15070260013</v>
      </c>
      <c r="H16" s="44">
        <f>SUM(C16:G16)</f>
        <v>8074124.6959999995</v>
      </c>
    </row>
    <row r="17" spans="2:8" ht="15.75" x14ac:dyDescent="0.25">
      <c r="B17" s="51" t="str">
        <f>Tabla35[[#This Row],[Concepto]]</f>
        <v>d) Ingresos propios recaudados 2019</v>
      </c>
      <c r="C17" s="47">
        <f>Captura!C6</f>
        <v>429913282</v>
      </c>
      <c r="D17" s="47">
        <f>Captura!D6</f>
        <v>55102338</v>
      </c>
      <c r="E17" s="47">
        <f>Captura!E6</f>
        <v>46570622</v>
      </c>
      <c r="F17" s="47">
        <f>Captura!F6</f>
        <v>1368623310</v>
      </c>
      <c r="G17" s="47">
        <f>Captura!G6</f>
        <v>61578813</v>
      </c>
      <c r="H17" s="52">
        <f>SUM(C17:G17)</f>
        <v>1961788365</v>
      </c>
    </row>
    <row r="18" spans="2:8" ht="15.75" x14ac:dyDescent="0.25">
      <c r="B18" s="51" t="str">
        <f>Tabla35[[#This Row],[Concepto]]</f>
        <v>e) Ingresos propios recaudados 2020</v>
      </c>
      <c r="C18" s="47">
        <f>Captura!C7</f>
        <v>355856808</v>
      </c>
      <c r="D18" s="47">
        <f>Captura!D7</f>
        <v>52463542.25</v>
      </c>
      <c r="E18" s="47">
        <f>Captura!E7</f>
        <v>49360936</v>
      </c>
      <c r="F18" s="47">
        <f>Captura!F7</f>
        <v>1043239777</v>
      </c>
      <c r="G18" s="47">
        <f>Captura!G7</f>
        <v>56327659</v>
      </c>
      <c r="H18" s="52">
        <f>SUM(C18:G18)</f>
        <v>1557248722.25</v>
      </c>
    </row>
    <row r="19" spans="2:8" ht="15.75" x14ac:dyDescent="0.25">
      <c r="B19" s="51" t="s">
        <v>50</v>
      </c>
      <c r="C19" s="47">
        <f>+C17+C18</f>
        <v>785770090</v>
      </c>
      <c r="D19" s="47">
        <f t="shared" ref="D19:G19" si="1">+D17+D18</f>
        <v>107565880.25</v>
      </c>
      <c r="E19" s="47">
        <f t="shared" si="1"/>
        <v>95931558</v>
      </c>
      <c r="F19" s="47">
        <f t="shared" si="1"/>
        <v>2411863087</v>
      </c>
      <c r="G19" s="47">
        <f t="shared" si="1"/>
        <v>117906472</v>
      </c>
      <c r="H19" s="52">
        <f>SUM(C19:G19)</f>
        <v>3519037087.25</v>
      </c>
    </row>
    <row r="20" spans="2:8" ht="15.75" x14ac:dyDescent="0.25">
      <c r="B20" s="51" t="s">
        <v>67</v>
      </c>
      <c r="C20" s="49">
        <f>C19/$H$19</f>
        <v>0.22329122158074521</v>
      </c>
      <c r="D20" s="49">
        <f>D19/$H$19</f>
        <v>3.0566850414770377E-2</v>
      </c>
      <c r="E20" s="49">
        <f>E19/$H$19</f>
        <v>2.7260740828101655E-2</v>
      </c>
      <c r="F20" s="49">
        <f>F19/$H$19</f>
        <v>0.68537586481783386</v>
      </c>
      <c r="G20" s="49">
        <f>G19/$H$19</f>
        <v>3.3505322358548841E-2</v>
      </c>
      <c r="H20" s="49">
        <f>SUM(C20:G20)</f>
        <v>1</v>
      </c>
    </row>
    <row r="21" spans="2:8" ht="15.75" x14ac:dyDescent="0.25">
      <c r="B21" s="42"/>
      <c r="C21" s="42"/>
      <c r="D21" s="42"/>
      <c r="E21" s="42"/>
      <c r="F21" s="42"/>
      <c r="G21" s="42"/>
      <c r="H21" s="42"/>
    </row>
    <row r="22" spans="2:8" ht="15.75" x14ac:dyDescent="0.25">
      <c r="B22" s="50" t="s">
        <v>53</v>
      </c>
      <c r="C22" s="45">
        <f>C23*($E$8*17%)</f>
        <v>1372601.1983200002</v>
      </c>
      <c r="D22" s="45">
        <f t="shared" ref="D22:G22" si="2">D23*($E$8*17%)</f>
        <v>1372601.1983200002</v>
      </c>
      <c r="E22" s="45">
        <f t="shared" si="2"/>
        <v>1372601.1983200002</v>
      </c>
      <c r="F22" s="45">
        <f t="shared" si="2"/>
        <v>1372601.1983200002</v>
      </c>
      <c r="G22" s="45">
        <f t="shared" si="2"/>
        <v>1372601.1983200002</v>
      </c>
      <c r="H22" s="44">
        <f>SUM(C22:G22)</f>
        <v>6863005.9916000012</v>
      </c>
    </row>
    <row r="23" spans="2:8" ht="17.25" customHeight="1" x14ac:dyDescent="0.25">
      <c r="B23" s="46" t="s">
        <v>68</v>
      </c>
      <c r="C23" s="53">
        <v>0.2</v>
      </c>
      <c r="D23" s="53">
        <v>0.2</v>
      </c>
      <c r="E23" s="53">
        <v>0.2</v>
      </c>
      <c r="F23" s="53">
        <v>0.2</v>
      </c>
      <c r="G23" s="53">
        <v>0.2</v>
      </c>
      <c r="H23" s="54">
        <f>SUM(C23:G23)</f>
        <v>1</v>
      </c>
    </row>
    <row r="24" spans="2:8" ht="13.5" customHeight="1" x14ac:dyDescent="0.25">
      <c r="B24" s="42"/>
      <c r="C24" s="42"/>
      <c r="D24" s="42"/>
      <c r="E24" s="42"/>
      <c r="F24" s="42"/>
      <c r="G24" s="42"/>
      <c r="H24" s="42"/>
    </row>
    <row r="25" spans="2:8" ht="15.75" x14ac:dyDescent="0.25">
      <c r="B25" s="50" t="s">
        <v>55</v>
      </c>
      <c r="C25" s="45">
        <f>C27*($E$8*13%)</f>
        <v>223459.01021468616</v>
      </c>
      <c r="D25" s="45">
        <f t="shared" ref="D25:G25" si="3">D27*($E$8*13%)</f>
        <v>1632370.8424977525</v>
      </c>
      <c r="E25" s="45">
        <f t="shared" si="3"/>
        <v>1830340.403391602</v>
      </c>
      <c r="F25" s="45">
        <f t="shared" si="3"/>
        <v>72801.564696655129</v>
      </c>
      <c r="G25" s="45">
        <f t="shared" si="3"/>
        <v>1489209.2315993039</v>
      </c>
      <c r="H25" s="45">
        <f>SUM(C25:G25)</f>
        <v>5248181.0524000004</v>
      </c>
    </row>
    <row r="26" spans="2:8" ht="15.75" x14ac:dyDescent="0.25">
      <c r="B26" s="51" t="s">
        <v>54</v>
      </c>
      <c r="C26" s="49">
        <f>1/C20</f>
        <v>4.4784563984231065</v>
      </c>
      <c r="D26" s="49">
        <f t="shared" ref="D26:G26" si="4">1/D20</f>
        <v>32.715179563177514</v>
      </c>
      <c r="E26" s="49">
        <f t="shared" si="4"/>
        <v>36.682788861304637</v>
      </c>
      <c r="F26" s="49">
        <f t="shared" si="4"/>
        <v>1.4590534206596115</v>
      </c>
      <c r="G26" s="49">
        <f t="shared" si="4"/>
        <v>29.846004443674641</v>
      </c>
      <c r="H26" s="49">
        <f>SUM(C26:G26)</f>
        <v>105.18148268723951</v>
      </c>
    </row>
    <row r="27" spans="2:8" ht="15.75" x14ac:dyDescent="0.25">
      <c r="B27" s="46" t="s">
        <v>85</v>
      </c>
      <c r="C27" s="55">
        <f>C26/$H$26</f>
        <v>4.2578372960760967E-2</v>
      </c>
      <c r="D27" s="55">
        <f t="shared" ref="D27:H27" si="5">D26/$H$26</f>
        <v>0.31103554282893259</v>
      </c>
      <c r="E27" s="55">
        <f t="shared" si="5"/>
        <v>0.3487570998631202</v>
      </c>
      <c r="F27" s="55">
        <f t="shared" si="5"/>
        <v>1.3871770803974625E-2</v>
      </c>
      <c r="G27" s="55">
        <f t="shared" si="5"/>
        <v>0.28375721354321165</v>
      </c>
      <c r="H27" s="55">
        <f t="shared" si="5"/>
        <v>1</v>
      </c>
    </row>
    <row r="28" spans="2:8" ht="15.75" x14ac:dyDescent="0.25">
      <c r="B28" s="42"/>
      <c r="C28" s="42"/>
      <c r="D28" s="42"/>
      <c r="E28" s="42"/>
      <c r="F28" s="42"/>
      <c r="G28" s="42"/>
      <c r="H28" s="42"/>
    </row>
    <row r="29" spans="2:8" ht="15.75" x14ac:dyDescent="0.25">
      <c r="B29" s="50" t="s">
        <v>155</v>
      </c>
      <c r="C29" s="45">
        <f>C31*($E$8*5%)</f>
        <v>565188.72872000001</v>
      </c>
      <c r="D29" s="45">
        <f t="shared" ref="D29:G29" si="6">D31*($E$8*5%)</f>
        <v>565188.72872000001</v>
      </c>
      <c r="E29" s="45">
        <f t="shared" si="6"/>
        <v>565188.72872000001</v>
      </c>
      <c r="F29" s="45">
        <f t="shared" si="6"/>
        <v>322964.98784000002</v>
      </c>
      <c r="G29" s="45">
        <f t="shared" si="6"/>
        <v>0</v>
      </c>
      <c r="H29" s="45">
        <f>H31*($E$8*5%)</f>
        <v>2018531.1739999999</v>
      </c>
    </row>
    <row r="30" spans="2:8" ht="15.75" x14ac:dyDescent="0.25">
      <c r="B30" s="51" t="s">
        <v>46</v>
      </c>
      <c r="C30" s="56">
        <f>Captura!C8</f>
        <v>7</v>
      </c>
      <c r="D30" s="56">
        <f>Captura!D8</f>
        <v>7</v>
      </c>
      <c r="E30" s="56">
        <f>Captura!E8</f>
        <v>7</v>
      </c>
      <c r="F30" s="56">
        <f>Captura!F8</f>
        <v>4</v>
      </c>
      <c r="G30" s="56">
        <f>Captura!G8</f>
        <v>0</v>
      </c>
      <c r="H30" s="56">
        <f>Captura!H8</f>
        <v>25</v>
      </c>
    </row>
    <row r="31" spans="2:8" ht="15.75" x14ac:dyDescent="0.25">
      <c r="B31" s="46" t="s">
        <v>69</v>
      </c>
      <c r="C31" s="49">
        <f>C30/$H$30</f>
        <v>0.28000000000000003</v>
      </c>
      <c r="D31" s="49">
        <f t="shared" ref="D31:H31" si="7">D30/$H$30</f>
        <v>0.28000000000000003</v>
      </c>
      <c r="E31" s="49">
        <f t="shared" si="7"/>
        <v>0.28000000000000003</v>
      </c>
      <c r="F31" s="49">
        <f t="shared" si="7"/>
        <v>0.16</v>
      </c>
      <c r="G31" s="49">
        <f t="shared" si="7"/>
        <v>0</v>
      </c>
      <c r="H31" s="49">
        <f t="shared" si="7"/>
        <v>1</v>
      </c>
    </row>
    <row r="32" spans="2:8" ht="15.75" x14ac:dyDescent="0.25">
      <c r="B32" s="42"/>
      <c r="C32" s="42"/>
      <c r="D32" s="42"/>
      <c r="E32" s="42"/>
      <c r="F32" s="42"/>
      <c r="G32" s="42"/>
      <c r="H32" s="42"/>
    </row>
    <row r="33" spans="1:8" ht="15.75" x14ac:dyDescent="0.25">
      <c r="B33" s="50" t="s">
        <v>156</v>
      </c>
      <c r="C33" s="45">
        <f>C35*($E$8*5%)</f>
        <v>556836.18593103439</v>
      </c>
      <c r="D33" s="45">
        <f t="shared" ref="D33:H33" si="8">D35*($E$8*5%)</f>
        <v>371224.12395402294</v>
      </c>
      <c r="E33" s="45">
        <f t="shared" si="8"/>
        <v>301619.6007126437</v>
      </c>
      <c r="F33" s="45">
        <f t="shared" si="8"/>
        <v>638041.46304597694</v>
      </c>
      <c r="G33" s="45">
        <f t="shared" si="8"/>
        <v>150809.80035632185</v>
      </c>
      <c r="H33" s="45">
        <f t="shared" si="8"/>
        <v>2018531.1739999999</v>
      </c>
    </row>
    <row r="34" spans="1:8" ht="15.75" x14ac:dyDescent="0.25">
      <c r="B34" s="57" t="s">
        <v>62</v>
      </c>
      <c r="C34" s="42">
        <f>Captura!C9</f>
        <v>48</v>
      </c>
      <c r="D34" s="42">
        <f>Captura!D9</f>
        <v>32</v>
      </c>
      <c r="E34" s="42">
        <f>Captura!E9</f>
        <v>26</v>
      </c>
      <c r="F34" s="42">
        <f>Captura!F9</f>
        <v>55</v>
      </c>
      <c r="G34" s="42">
        <f>Captura!G9</f>
        <v>13</v>
      </c>
      <c r="H34" s="42">
        <f>Captura!H9</f>
        <v>174</v>
      </c>
    </row>
    <row r="35" spans="1:8" ht="15.75" x14ac:dyDescent="0.25">
      <c r="B35" s="57" t="s">
        <v>63</v>
      </c>
      <c r="C35" s="49">
        <f>C34/$H$34</f>
        <v>0.27586206896551724</v>
      </c>
      <c r="D35" s="49">
        <f t="shared" ref="D35:H35" si="9">D34/$H$34</f>
        <v>0.18390804597701149</v>
      </c>
      <c r="E35" s="49">
        <f t="shared" si="9"/>
        <v>0.14942528735632185</v>
      </c>
      <c r="F35" s="49">
        <f t="shared" si="9"/>
        <v>0.31609195402298851</v>
      </c>
      <c r="G35" s="49">
        <f t="shared" si="9"/>
        <v>7.4712643678160925E-2</v>
      </c>
      <c r="H35" s="49">
        <f t="shared" si="9"/>
        <v>1</v>
      </c>
    </row>
    <row r="36" spans="1:8" ht="25.5" customHeight="1" x14ac:dyDescent="0.25">
      <c r="B36" s="57"/>
      <c r="C36" s="42"/>
      <c r="D36" s="42"/>
      <c r="E36" s="42"/>
      <c r="F36" s="42"/>
      <c r="G36" s="42"/>
      <c r="H36" s="42"/>
    </row>
    <row r="37" spans="1:8" ht="15" customHeight="1" x14ac:dyDescent="0.25">
      <c r="B37" s="50" t="s">
        <v>157</v>
      </c>
      <c r="C37" s="44">
        <f>C39*($E$8*1%)</f>
        <v>84192.473631014742</v>
      </c>
      <c r="D37" s="44">
        <f t="shared" ref="D37:H37" si="10">D39*($E$8*1%)</f>
        <v>100059.57346108375</v>
      </c>
      <c r="E37" s="44">
        <f t="shared" si="10"/>
        <v>174843.98046422462</v>
      </c>
      <c r="F37" s="44">
        <f t="shared" si="10"/>
        <v>20491.385249923889</v>
      </c>
      <c r="G37" s="44">
        <f t="shared" si="10"/>
        <v>24118.821993752877</v>
      </c>
      <c r="H37" s="44">
        <f t="shared" si="10"/>
        <v>403706.23479999998</v>
      </c>
    </row>
    <row r="38" spans="1:8" ht="15.75" x14ac:dyDescent="0.25">
      <c r="B38" s="57" t="s">
        <v>64</v>
      </c>
      <c r="C38" s="58">
        <f>Captura!C10</f>
        <v>15413.7</v>
      </c>
      <c r="D38" s="58">
        <f>Captura!D10</f>
        <v>18318.599999999999</v>
      </c>
      <c r="E38" s="58">
        <f>Captura!E10</f>
        <v>32009.9</v>
      </c>
      <c r="F38" s="58">
        <f>Captura!F10</f>
        <v>3751.5</v>
      </c>
      <c r="G38" s="58">
        <f>Captura!G10</f>
        <v>4415.6000000000004</v>
      </c>
      <c r="H38" s="58">
        <f>Captura!H10</f>
        <v>73909.300000000017</v>
      </c>
    </row>
    <row r="39" spans="1:8" ht="15.75" x14ac:dyDescent="0.25">
      <c r="B39" s="57" t="s">
        <v>65</v>
      </c>
      <c r="C39" s="49">
        <f>C38/$H$38</f>
        <v>0.20854885650384994</v>
      </c>
      <c r="D39" s="49">
        <f t="shared" ref="D39:H39" si="11">D38/$H$38</f>
        <v>0.24785243534981383</v>
      </c>
      <c r="E39" s="49">
        <f t="shared" si="11"/>
        <v>0.43309705273896509</v>
      </c>
      <c r="F39" s="49">
        <f t="shared" si="11"/>
        <v>5.0758158986758083E-2</v>
      </c>
      <c r="G39" s="49">
        <f t="shared" si="11"/>
        <v>5.9743496420612822E-2</v>
      </c>
      <c r="H39" s="49">
        <f t="shared" si="11"/>
        <v>1</v>
      </c>
    </row>
    <row r="40" spans="1:8" ht="15.75" x14ac:dyDescent="0.25">
      <c r="B40" s="42"/>
      <c r="C40" s="42"/>
      <c r="D40" s="42"/>
      <c r="E40" s="42"/>
      <c r="F40" s="42"/>
      <c r="G40" s="42"/>
      <c r="H40" s="42"/>
    </row>
    <row r="41" spans="1:8" ht="31.5" x14ac:dyDescent="0.25">
      <c r="A41" t="s">
        <v>45</v>
      </c>
      <c r="B41" s="59" t="s">
        <v>71</v>
      </c>
      <c r="C41" s="60">
        <f>+C12+C16+C22+C25+C29+C33+C37</f>
        <v>10367846.877687842</v>
      </c>
      <c r="D41" s="60">
        <f t="shared" ref="D41:H41" si="12">+D12+D16+D22+D25+D29+D33+D37</f>
        <v>5728143.0882259989</v>
      </c>
      <c r="E41" s="60">
        <f t="shared" si="12"/>
        <v>5727147.6854085801</v>
      </c>
      <c r="F41" s="60">
        <f t="shared" si="12"/>
        <v>14884253.98913013</v>
      </c>
      <c r="G41" s="60">
        <f t="shared" si="12"/>
        <v>3663231.8395474493</v>
      </c>
      <c r="H41" s="60">
        <f t="shared" si="12"/>
        <v>40370623.480000012</v>
      </c>
    </row>
    <row r="42" spans="1:8" ht="15.75" x14ac:dyDescent="0.25">
      <c r="B42" s="50"/>
      <c r="C42" s="42"/>
      <c r="D42" s="42"/>
      <c r="E42" s="42"/>
      <c r="F42" s="42"/>
      <c r="G42" s="42"/>
      <c r="H42" s="42"/>
    </row>
    <row r="43" spans="1:8" ht="15.75" x14ac:dyDescent="0.25">
      <c r="B43" s="50" t="s">
        <v>70</v>
      </c>
      <c r="C43" s="61">
        <f>C41/$H$41</f>
        <v>0.2568166152505465</v>
      </c>
      <c r="D43" s="61">
        <f t="shared" ref="D43:H43" si="13">D41/$H$41</f>
        <v>0.14188889332025736</v>
      </c>
      <c r="E43" s="61">
        <f t="shared" si="13"/>
        <v>0.14186423670780965</v>
      </c>
      <c r="F43" s="61">
        <f t="shared" si="13"/>
        <v>0.36869021843331029</v>
      </c>
      <c r="G43" s="61">
        <f t="shared" si="13"/>
        <v>9.0740036288075879E-2</v>
      </c>
      <c r="H43" s="61">
        <f t="shared" si="13"/>
        <v>1</v>
      </c>
    </row>
    <row r="55" spans="9:16" x14ac:dyDescent="0.25">
      <c r="I55" s="25"/>
      <c r="J55" s="25"/>
      <c r="K55" s="25"/>
      <c r="L55" s="25"/>
      <c r="M55" s="25"/>
      <c r="N55" s="25"/>
      <c r="O55" s="25"/>
      <c r="P55" s="24"/>
    </row>
    <row r="58" spans="9:16" x14ac:dyDescent="0.25">
      <c r="O58" s="5"/>
    </row>
    <row r="59" spans="9:16" x14ac:dyDescent="0.25">
      <c r="I59" s="27"/>
      <c r="J59" s="27"/>
      <c r="K59" s="27"/>
      <c r="L59" s="27"/>
      <c r="M59" s="27"/>
      <c r="N59" s="27"/>
      <c r="O59" s="28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scale="48" orientation="portrait" horizontalDpi="4294967293" verticalDpi="4294967293" r:id="rId1"/>
  <colBreaks count="1" manualBreakCount="1">
    <brk id="8" max="42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3"/>
  <sheetViews>
    <sheetView showGridLines="0" zoomScale="115" zoomScaleNormal="115" workbookViewId="0">
      <selection activeCell="B21" sqref="B21"/>
    </sheetView>
  </sheetViews>
  <sheetFormatPr baseColWidth="10" defaultRowHeight="15" x14ac:dyDescent="0.25"/>
  <cols>
    <col min="1" max="1" width="18" bestFit="1" customWidth="1"/>
    <col min="2" max="2" width="44.140625" customWidth="1"/>
    <col min="3" max="8" width="19.5703125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97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3" t="s">
        <v>135</v>
      </c>
      <c r="D5" s="103" t="s">
        <v>36</v>
      </c>
      <c r="E5" s="103" t="s">
        <v>37</v>
      </c>
    </row>
    <row r="6" spans="1:16" ht="48.75" customHeight="1" x14ac:dyDescent="0.25">
      <c r="C6" s="104"/>
      <c r="D6" s="104"/>
      <c r="E6" s="104"/>
    </row>
    <row r="7" spans="1:16" ht="14.25" customHeight="1" x14ac:dyDescent="0.25">
      <c r="A7" s="4"/>
      <c r="C7" s="105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Captura!K6</f>
        <v>225738743</v>
      </c>
      <c r="D8" s="62">
        <f>Captura!L6</f>
        <v>1</v>
      </c>
      <c r="E8" s="38">
        <f>+C8*D8</f>
        <v>225738743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21.75" customHeight="1" x14ac:dyDescent="0.25">
      <c r="B12" s="50" t="s">
        <v>72</v>
      </c>
      <c r="C12" s="45">
        <f>C13*($E$8*60%)</f>
        <v>27088649.159999996</v>
      </c>
      <c r="D12" s="45">
        <f t="shared" ref="D12:G12" si="0">D13*($E$8*60%)</f>
        <v>27088649.159999996</v>
      </c>
      <c r="E12" s="45">
        <f t="shared" si="0"/>
        <v>27088649.159999996</v>
      </c>
      <c r="F12" s="45">
        <f t="shared" si="0"/>
        <v>27088649.159999996</v>
      </c>
      <c r="G12" s="45">
        <f t="shared" si="0"/>
        <v>27088649.159999996</v>
      </c>
      <c r="H12" s="44">
        <f>SUM(C12:G12)</f>
        <v>135443245.79999998</v>
      </c>
    </row>
    <row r="13" spans="1:16" ht="15.75" x14ac:dyDescent="0.25">
      <c r="B13" s="46" t="s">
        <v>73</v>
      </c>
      <c r="C13" s="53">
        <v>0.2</v>
      </c>
      <c r="D13" s="53">
        <v>0.2</v>
      </c>
      <c r="E13" s="53">
        <v>0.2</v>
      </c>
      <c r="F13" s="53">
        <v>0.2</v>
      </c>
      <c r="G13" s="53">
        <v>0.2</v>
      </c>
      <c r="H13" s="54">
        <f>SUM(C13:G13)</f>
        <v>1</v>
      </c>
    </row>
    <row r="14" spans="1:16" ht="15.75" x14ac:dyDescent="0.25">
      <c r="B14" s="46"/>
      <c r="C14" s="53"/>
      <c r="D14" s="53"/>
      <c r="E14" s="53"/>
      <c r="F14" s="53"/>
      <c r="G14" s="53"/>
      <c r="H14" s="54"/>
    </row>
    <row r="15" spans="1:16" ht="15.75" x14ac:dyDescent="0.25">
      <c r="B15" s="43" t="s">
        <v>74</v>
      </c>
      <c r="C15" s="44">
        <f>C17*($E$8*30%)</f>
        <v>24786911.088549268</v>
      </c>
      <c r="D15" s="44">
        <f t="shared" ref="D15:G15" si="1">D17*($E$8*30%)</f>
        <v>6193398.7174864449</v>
      </c>
      <c r="E15" s="44">
        <f t="shared" si="1"/>
        <v>5430133.4231374143</v>
      </c>
      <c r="F15" s="44">
        <f t="shared" si="1"/>
        <v>29780068.981462639</v>
      </c>
      <c r="G15" s="44">
        <f t="shared" si="1"/>
        <v>1531110.6893642282</v>
      </c>
      <c r="H15" s="45">
        <f>SUM(C15:G15)</f>
        <v>67721622.899999991</v>
      </c>
    </row>
    <row r="16" spans="1:16" ht="15.75" x14ac:dyDescent="0.25">
      <c r="B16" s="46" t="s">
        <v>136</v>
      </c>
      <c r="C16" s="47">
        <f>Captura!C5</f>
        <v>292241</v>
      </c>
      <c r="D16" s="47">
        <f>Captura!D5</f>
        <v>73021</v>
      </c>
      <c r="E16" s="47">
        <f>Captura!E5</f>
        <v>64022</v>
      </c>
      <c r="F16" s="47">
        <f>Captura!F5</f>
        <v>351111</v>
      </c>
      <c r="G16" s="47">
        <f>Captura!G5</f>
        <v>18052</v>
      </c>
      <c r="H16" s="47">
        <f>SUM(C16:G16)</f>
        <v>798447</v>
      </c>
    </row>
    <row r="17" spans="1:8" ht="15.75" x14ac:dyDescent="0.25">
      <c r="B17" s="46" t="s">
        <v>75</v>
      </c>
      <c r="C17" s="48">
        <f>(C16/$H$16)</f>
        <v>0.36601177034919036</v>
      </c>
      <c r="D17" s="49">
        <f>(D16/$H$16)</f>
        <v>9.1453784659470197E-2</v>
      </c>
      <c r="E17" s="49">
        <f>(E16/$H$16)</f>
        <v>8.0183155550712815E-2</v>
      </c>
      <c r="F17" s="49">
        <f>(F16/$H$16)</f>
        <v>0.43974239993387165</v>
      </c>
      <c r="G17" s="49">
        <f>(G16/$H$16)</f>
        <v>2.2608889506754989E-2</v>
      </c>
      <c r="H17" s="49">
        <f>SUM(C17:G17)</f>
        <v>1</v>
      </c>
    </row>
    <row r="18" spans="1:8" ht="15.75" x14ac:dyDescent="0.25">
      <c r="B18" s="42"/>
      <c r="C18" s="42"/>
      <c r="D18" s="42"/>
      <c r="E18" s="42"/>
      <c r="F18" s="42"/>
      <c r="G18" s="42"/>
      <c r="H18" s="42"/>
    </row>
    <row r="19" spans="1:8" ht="15.75" x14ac:dyDescent="0.25">
      <c r="B19" s="50" t="s">
        <v>76</v>
      </c>
      <c r="C19" s="44">
        <f>C23*($E$8*10%)</f>
        <v>5040547.9682571897</v>
      </c>
      <c r="D19" s="44">
        <f t="shared" ref="D19:G19" si="2">D23*($E$8*10%)</f>
        <v>690012.23900992936</v>
      </c>
      <c r="E19" s="44">
        <f t="shared" si="2"/>
        <v>615380.53677844466</v>
      </c>
      <c r="F19" s="44">
        <f t="shared" si="2"/>
        <v>15471588.620651575</v>
      </c>
      <c r="G19" s="44">
        <f t="shared" si="2"/>
        <v>756344.93530286103</v>
      </c>
      <c r="H19" s="44">
        <f>SUM(C19:G19)</f>
        <v>22573874.299999997</v>
      </c>
    </row>
    <row r="20" spans="1:8" ht="15.75" x14ac:dyDescent="0.25">
      <c r="B20" s="51" t="str">
        <f>'IEPS-BCT'!B17</f>
        <v>d) Ingresos propios recaudados 2019</v>
      </c>
      <c r="C20" s="47">
        <f>Captura!C6</f>
        <v>429913282</v>
      </c>
      <c r="D20" s="47">
        <f>Captura!D6</f>
        <v>55102338</v>
      </c>
      <c r="E20" s="47">
        <f>Captura!E6</f>
        <v>46570622</v>
      </c>
      <c r="F20" s="47">
        <f>Captura!F6</f>
        <v>1368623310</v>
      </c>
      <c r="G20" s="47">
        <f>Captura!G6</f>
        <v>61578813</v>
      </c>
      <c r="H20" s="52">
        <f>SUM(C20:G20)</f>
        <v>1961788365</v>
      </c>
    </row>
    <row r="21" spans="1:8" ht="15.75" x14ac:dyDescent="0.25">
      <c r="B21" s="51" t="str">
        <f>'IEPS-BCT'!B18</f>
        <v>e) Ingresos propios recaudados 2020</v>
      </c>
      <c r="C21" s="47">
        <f>Captura!C7</f>
        <v>355856808</v>
      </c>
      <c r="D21" s="47">
        <f>Captura!D7</f>
        <v>52463542.25</v>
      </c>
      <c r="E21" s="47">
        <f>Captura!E7</f>
        <v>49360936</v>
      </c>
      <c r="F21" s="47">
        <f>Captura!F7</f>
        <v>1043239777</v>
      </c>
      <c r="G21" s="47">
        <f>Captura!G7</f>
        <v>56327659</v>
      </c>
      <c r="H21" s="52">
        <f>SUM(C21:G21)</f>
        <v>1557248722.25</v>
      </c>
    </row>
    <row r="22" spans="1:8" ht="15.75" x14ac:dyDescent="0.25">
      <c r="B22" s="51" t="s">
        <v>50</v>
      </c>
      <c r="C22" s="47">
        <f>+C20+C21</f>
        <v>785770090</v>
      </c>
      <c r="D22" s="47">
        <f t="shared" ref="D22:G22" si="3">+D20+D21</f>
        <v>107565880.25</v>
      </c>
      <c r="E22" s="47">
        <f t="shared" si="3"/>
        <v>95931558</v>
      </c>
      <c r="F22" s="47">
        <f t="shared" si="3"/>
        <v>2411863087</v>
      </c>
      <c r="G22" s="47">
        <f t="shared" si="3"/>
        <v>117906472</v>
      </c>
      <c r="H22" s="52">
        <f>SUM(C22:G22)</f>
        <v>3519037087.25</v>
      </c>
    </row>
    <row r="23" spans="1:8" ht="15.75" x14ac:dyDescent="0.25">
      <c r="B23" s="51" t="s">
        <v>67</v>
      </c>
      <c r="C23" s="49">
        <f>C22/$H$22</f>
        <v>0.22329122158074521</v>
      </c>
      <c r="D23" s="49">
        <f>D22/$H$22</f>
        <v>3.0566850414770377E-2</v>
      </c>
      <c r="E23" s="49">
        <f>E22/$H$22</f>
        <v>2.7260740828101655E-2</v>
      </c>
      <c r="F23" s="49">
        <f>F22/$H$22</f>
        <v>0.68537586481783386</v>
      </c>
      <c r="G23" s="49">
        <f>G22/$H$22</f>
        <v>3.3505322358548841E-2</v>
      </c>
      <c r="H23" s="49">
        <f>SUM(C23:G23)</f>
        <v>1</v>
      </c>
    </row>
    <row r="24" spans="1:8" ht="15.75" x14ac:dyDescent="0.25">
      <c r="B24" s="42"/>
      <c r="C24" s="42"/>
      <c r="D24" s="42"/>
      <c r="E24" s="42"/>
      <c r="F24" s="42"/>
      <c r="G24" s="42"/>
      <c r="H24" s="42"/>
    </row>
    <row r="25" spans="1:8" ht="31.5" x14ac:dyDescent="0.25">
      <c r="A25" t="s">
        <v>45</v>
      </c>
      <c r="B25" s="59" t="s">
        <v>77</v>
      </c>
      <c r="C25" s="60">
        <f>+C15+C19+C12</f>
        <v>56916108.216806456</v>
      </c>
      <c r="D25" s="60">
        <f t="shared" ref="D25:G25" si="4">+D15+D19+D12</f>
        <v>33972060.116496369</v>
      </c>
      <c r="E25" s="60">
        <f t="shared" si="4"/>
        <v>33134163.119915854</v>
      </c>
      <c r="F25" s="60">
        <f t="shared" si="4"/>
        <v>72340306.762114212</v>
      </c>
      <c r="G25" s="60">
        <f t="shared" si="4"/>
        <v>29376104.784667086</v>
      </c>
      <c r="H25" s="60">
        <f>+H15+H19+H12</f>
        <v>225738742.99999997</v>
      </c>
    </row>
    <row r="26" spans="1:8" ht="15.75" x14ac:dyDescent="0.25">
      <c r="B26" s="50"/>
      <c r="C26" s="42"/>
      <c r="D26" s="42"/>
      <c r="E26" s="42"/>
      <c r="F26" s="42"/>
      <c r="G26" s="42"/>
      <c r="H26" s="42"/>
    </row>
    <row r="27" spans="1:8" ht="15.75" x14ac:dyDescent="0.25">
      <c r="B27" s="50" t="s">
        <v>78</v>
      </c>
      <c r="C27" s="61">
        <f>C25/$H$25</f>
        <v>0.25213265326283163</v>
      </c>
      <c r="D27" s="61">
        <f t="shared" ref="D27:H27" si="5">D25/$H$25</f>
        <v>0.15049282043931808</v>
      </c>
      <c r="E27" s="61">
        <f t="shared" si="5"/>
        <v>0.14678102074802402</v>
      </c>
      <c r="F27" s="61">
        <f t="shared" si="5"/>
        <v>0.3204603064619449</v>
      </c>
      <c r="G27" s="61">
        <f t="shared" si="5"/>
        <v>0.13013319908788137</v>
      </c>
      <c r="H27" s="61">
        <f t="shared" si="5"/>
        <v>1</v>
      </c>
    </row>
    <row r="39" spans="9:16" x14ac:dyDescent="0.25">
      <c r="I39" s="25"/>
      <c r="J39" s="25"/>
      <c r="K39" s="25"/>
      <c r="L39" s="25"/>
      <c r="M39" s="25"/>
      <c r="N39" s="25"/>
      <c r="O39" s="25"/>
      <c r="P39" s="24"/>
    </row>
    <row r="42" spans="9:16" x14ac:dyDescent="0.25">
      <c r="O42" s="5"/>
    </row>
    <row r="43" spans="9:16" x14ac:dyDescent="0.25">
      <c r="I43" s="27"/>
      <c r="J43" s="27"/>
      <c r="K43" s="27"/>
      <c r="L43" s="27"/>
      <c r="M43" s="27"/>
      <c r="N43" s="27"/>
      <c r="O43" s="28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43"/>
  <sheetViews>
    <sheetView showGridLines="0" zoomScale="85" zoomScaleNormal="85" workbookViewId="0">
      <selection activeCell="F20" sqref="F20"/>
    </sheetView>
  </sheetViews>
  <sheetFormatPr baseColWidth="10" defaultRowHeight="15" x14ac:dyDescent="0.25"/>
  <cols>
    <col min="1" max="1" width="18" bestFit="1" customWidth="1"/>
    <col min="2" max="2" width="46.42578125" customWidth="1"/>
    <col min="3" max="8" width="21.7109375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98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3" t="s">
        <v>165</v>
      </c>
      <c r="D5" s="103" t="s">
        <v>36</v>
      </c>
      <c r="E5" s="103" t="s">
        <v>37</v>
      </c>
    </row>
    <row r="6" spans="1:16" ht="48.75" customHeight="1" x14ac:dyDescent="0.25">
      <c r="C6" s="104"/>
      <c r="D6" s="104"/>
      <c r="E6" s="104"/>
    </row>
    <row r="7" spans="1:16" ht="14.25" customHeight="1" x14ac:dyDescent="0.25">
      <c r="A7" s="4"/>
      <c r="C7" s="105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Captura!K7</f>
        <v>298279108</v>
      </c>
      <c r="D8" s="62">
        <v>0.2</v>
      </c>
      <c r="E8" s="38">
        <f>+C8*D8</f>
        <v>59655821.600000001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21.75" customHeight="1" x14ac:dyDescent="0.25">
      <c r="B12" s="50" t="s">
        <v>72</v>
      </c>
      <c r="C12" s="45">
        <f>C13*($E$8*60%)</f>
        <v>7158698.5920000002</v>
      </c>
      <c r="D12" s="45">
        <f t="shared" ref="D12:G12" si="0">D13*($E$8*60%)</f>
        <v>7158698.5920000002</v>
      </c>
      <c r="E12" s="45">
        <f t="shared" si="0"/>
        <v>7158698.5920000002</v>
      </c>
      <c r="F12" s="45">
        <f t="shared" si="0"/>
        <v>7158698.5920000002</v>
      </c>
      <c r="G12" s="45">
        <f t="shared" si="0"/>
        <v>7158698.5920000002</v>
      </c>
      <c r="H12" s="44">
        <f>SUM(C12:G12)</f>
        <v>35793492.960000001</v>
      </c>
    </row>
    <row r="13" spans="1:16" ht="15.75" x14ac:dyDescent="0.25">
      <c r="B13" s="46" t="s">
        <v>73</v>
      </c>
      <c r="C13" s="53">
        <v>0.2</v>
      </c>
      <c r="D13" s="53">
        <v>0.2</v>
      </c>
      <c r="E13" s="53">
        <v>0.2</v>
      </c>
      <c r="F13" s="53">
        <v>0.2</v>
      </c>
      <c r="G13" s="53">
        <v>0.2</v>
      </c>
      <c r="H13" s="54">
        <f>SUM(C13:G13)</f>
        <v>1</v>
      </c>
    </row>
    <row r="14" spans="1:16" ht="15.75" x14ac:dyDescent="0.25">
      <c r="B14" s="46"/>
      <c r="C14" s="53"/>
      <c r="D14" s="53"/>
      <c r="E14" s="53"/>
      <c r="F14" s="53"/>
      <c r="G14" s="53"/>
      <c r="H14" s="54"/>
    </row>
    <row r="15" spans="1:16" ht="15.75" x14ac:dyDescent="0.25">
      <c r="B15" s="43" t="s">
        <v>74</v>
      </c>
      <c r="C15" s="44">
        <f>C17*($E$8*30%)</f>
        <v>6550419.8626354411</v>
      </c>
      <c r="D15" s="44">
        <f t="shared" ref="D15:G15" si="1">D17*($E$8*30%)</f>
        <v>1636725.1986870512</v>
      </c>
      <c r="E15" s="44">
        <f t="shared" si="1"/>
        <v>1435017.6068575121</v>
      </c>
      <c r="F15" s="44">
        <f t="shared" si="1"/>
        <v>7869958.2481232695</v>
      </c>
      <c r="G15" s="44">
        <f t="shared" si="1"/>
        <v>404625.56369672628</v>
      </c>
      <c r="H15" s="45">
        <f>SUM(C15:G15)</f>
        <v>17896746.48</v>
      </c>
    </row>
    <row r="16" spans="1:16" ht="15.75" x14ac:dyDescent="0.25">
      <c r="B16" s="46" t="str">
        <f>Tabla3510[[#This Row],[Concepto]]</f>
        <v>b) Censo de Población y vivienda 2020</v>
      </c>
      <c r="C16" s="47">
        <f>Captura!C5</f>
        <v>292241</v>
      </c>
      <c r="D16" s="47">
        <f>Captura!D5</f>
        <v>73021</v>
      </c>
      <c r="E16" s="47">
        <f>Captura!E5</f>
        <v>64022</v>
      </c>
      <c r="F16" s="47">
        <f>Captura!F5</f>
        <v>351111</v>
      </c>
      <c r="G16" s="47">
        <f>Captura!G5</f>
        <v>18052</v>
      </c>
      <c r="H16" s="47">
        <f>SUM(C16:G16)</f>
        <v>798447</v>
      </c>
    </row>
    <row r="17" spans="1:8" ht="15.75" x14ac:dyDescent="0.25">
      <c r="B17" s="46" t="s">
        <v>75</v>
      </c>
      <c r="C17" s="48">
        <f>(C16/$H$16)</f>
        <v>0.36601177034919036</v>
      </c>
      <c r="D17" s="49">
        <f>(D16/$H$16)</f>
        <v>9.1453784659470197E-2</v>
      </c>
      <c r="E17" s="49">
        <f>(E16/$H$16)</f>
        <v>8.0183155550712815E-2</v>
      </c>
      <c r="F17" s="49">
        <f>(F16/$H$16)</f>
        <v>0.43974239993387165</v>
      </c>
      <c r="G17" s="49">
        <f>(G16/$H$16)</f>
        <v>2.2608889506754989E-2</v>
      </c>
      <c r="H17" s="49">
        <f>SUM(C17:G17)</f>
        <v>1</v>
      </c>
    </row>
    <row r="18" spans="1:8" ht="15.75" x14ac:dyDescent="0.25">
      <c r="B18" s="42"/>
      <c r="C18" s="42"/>
      <c r="D18" s="42"/>
      <c r="E18" s="42"/>
      <c r="F18" s="42"/>
      <c r="G18" s="42"/>
      <c r="H18" s="42"/>
    </row>
    <row r="19" spans="1:8" ht="15.75" x14ac:dyDescent="0.25">
      <c r="B19" s="50" t="s">
        <v>76</v>
      </c>
      <c r="C19" s="44">
        <f>C23*($E$8*10%)</f>
        <v>1332062.1279467007</v>
      </c>
      <c r="D19" s="44">
        <f t="shared" ref="D19:G19" si="2">D23*($E$8*10%)</f>
        <v>182349.05752174277</v>
      </c>
      <c r="E19" s="44">
        <f t="shared" si="2"/>
        <v>162626.18915250688</v>
      </c>
      <c r="F19" s="44">
        <f t="shared" si="2"/>
        <v>4088666.0320518413</v>
      </c>
      <c r="G19" s="44">
        <f t="shared" si="2"/>
        <v>199878.75332720811</v>
      </c>
      <c r="H19" s="44">
        <f>SUM(C19:G19)</f>
        <v>5965582.1600000001</v>
      </c>
    </row>
    <row r="20" spans="1:8" ht="15.75" x14ac:dyDescent="0.25">
      <c r="B20" s="51" t="s">
        <v>43</v>
      </c>
      <c r="C20" s="47">
        <f>Captura!C6</f>
        <v>429913282</v>
      </c>
      <c r="D20" s="47">
        <f>Captura!D6</f>
        <v>55102338</v>
      </c>
      <c r="E20" s="47">
        <f>Captura!E6</f>
        <v>46570622</v>
      </c>
      <c r="F20" s="47">
        <f>Captura!F6</f>
        <v>1368623310</v>
      </c>
      <c r="G20" s="47">
        <f>Captura!G6</f>
        <v>61578813</v>
      </c>
      <c r="H20" s="52">
        <f>SUM(C20:G20)</f>
        <v>1961788365</v>
      </c>
    </row>
    <row r="21" spans="1:8" ht="15.75" x14ac:dyDescent="0.25">
      <c r="B21" s="51" t="s">
        <v>44</v>
      </c>
      <c r="C21" s="47">
        <f>Captura!C7</f>
        <v>355856808</v>
      </c>
      <c r="D21" s="47">
        <f>Captura!D7</f>
        <v>52463542.25</v>
      </c>
      <c r="E21" s="47">
        <f>Captura!E7</f>
        <v>49360936</v>
      </c>
      <c r="F21" s="47">
        <f>Captura!F7</f>
        <v>1043239777</v>
      </c>
      <c r="G21" s="47">
        <f>Captura!G7</f>
        <v>56327659</v>
      </c>
      <c r="H21" s="52">
        <f>SUM(C21:G21)</f>
        <v>1557248722.25</v>
      </c>
    </row>
    <row r="22" spans="1:8" ht="15.75" x14ac:dyDescent="0.25">
      <c r="B22" s="51" t="s">
        <v>50</v>
      </c>
      <c r="C22" s="47">
        <f>+C20+C21</f>
        <v>785770090</v>
      </c>
      <c r="D22" s="47">
        <f t="shared" ref="D22:G22" si="3">+D20+D21</f>
        <v>107565880.25</v>
      </c>
      <c r="E22" s="47">
        <f t="shared" si="3"/>
        <v>95931558</v>
      </c>
      <c r="F22" s="47">
        <f t="shared" si="3"/>
        <v>2411863087</v>
      </c>
      <c r="G22" s="47">
        <f t="shared" si="3"/>
        <v>117906472</v>
      </c>
      <c r="H22" s="52">
        <f>SUM(C22:G22)</f>
        <v>3519037087.25</v>
      </c>
    </row>
    <row r="23" spans="1:8" ht="15.75" x14ac:dyDescent="0.25">
      <c r="B23" s="46" t="s">
        <v>67</v>
      </c>
      <c r="C23" s="49">
        <f>C22/$H$22</f>
        <v>0.22329122158074521</v>
      </c>
      <c r="D23" s="49">
        <f>D22/$H$22</f>
        <v>3.0566850414770377E-2</v>
      </c>
      <c r="E23" s="49">
        <f>E22/$H$22</f>
        <v>2.7260740828101655E-2</v>
      </c>
      <c r="F23" s="49">
        <f>F22/$H$22</f>
        <v>0.68537586481783386</v>
      </c>
      <c r="G23" s="49">
        <f>G22/$H$22</f>
        <v>3.3505322358548841E-2</v>
      </c>
      <c r="H23" s="49">
        <f>SUM(C23:G23)</f>
        <v>1</v>
      </c>
    </row>
    <row r="24" spans="1:8" ht="15.75" x14ac:dyDescent="0.25">
      <c r="B24" s="42"/>
      <c r="C24" s="42"/>
      <c r="D24" s="42"/>
      <c r="E24" s="42"/>
      <c r="F24" s="42"/>
      <c r="G24" s="42"/>
      <c r="H24" s="42"/>
    </row>
    <row r="25" spans="1:8" ht="31.5" x14ac:dyDescent="0.25">
      <c r="A25" t="s">
        <v>45</v>
      </c>
      <c r="B25" s="59" t="s">
        <v>77</v>
      </c>
      <c r="C25" s="60">
        <f>+C15+C19+C12</f>
        <v>15041180.582582142</v>
      </c>
      <c r="D25" s="60">
        <f t="shared" ref="D25:G25" si="4">+D15+D19+D12</f>
        <v>8977772.8482087944</v>
      </c>
      <c r="E25" s="60">
        <f t="shared" si="4"/>
        <v>8756342.3880100194</v>
      </c>
      <c r="F25" s="60">
        <f t="shared" si="4"/>
        <v>19117322.872175112</v>
      </c>
      <c r="G25" s="60">
        <f t="shared" si="4"/>
        <v>7763202.909023935</v>
      </c>
      <c r="H25" s="60">
        <f>+H15+H19+H12</f>
        <v>59655821.600000001</v>
      </c>
    </row>
    <row r="26" spans="1:8" ht="15.75" x14ac:dyDescent="0.25">
      <c r="B26" s="50"/>
      <c r="C26" s="42"/>
      <c r="D26" s="42"/>
      <c r="E26" s="42"/>
      <c r="F26" s="42"/>
      <c r="G26" s="42"/>
      <c r="H26" s="42"/>
    </row>
    <row r="27" spans="1:8" ht="15.75" x14ac:dyDescent="0.25">
      <c r="B27" s="50" t="s">
        <v>78</v>
      </c>
      <c r="C27" s="61">
        <f>C25/$H$25</f>
        <v>0.25213265326283163</v>
      </c>
      <c r="D27" s="61">
        <f t="shared" ref="D27:H27" si="5">D25/$H$25</f>
        <v>0.15049282043931811</v>
      </c>
      <c r="E27" s="61">
        <f t="shared" si="5"/>
        <v>0.14678102074802402</v>
      </c>
      <c r="F27" s="61">
        <f t="shared" si="5"/>
        <v>0.3204603064619449</v>
      </c>
      <c r="G27" s="61">
        <f t="shared" si="5"/>
        <v>0.13013319908788137</v>
      </c>
      <c r="H27" s="61">
        <f t="shared" si="5"/>
        <v>1</v>
      </c>
    </row>
    <row r="39" spans="9:16" x14ac:dyDescent="0.25">
      <c r="I39" s="25"/>
      <c r="J39" s="25"/>
      <c r="K39" s="25"/>
      <c r="L39" s="25"/>
      <c r="M39" s="25"/>
      <c r="N39" s="25"/>
      <c r="O39" s="25"/>
      <c r="P39" s="24"/>
    </row>
    <row r="42" spans="9:16" x14ac:dyDescent="0.25">
      <c r="O42" s="5"/>
    </row>
    <row r="43" spans="9:16" x14ac:dyDescent="0.25">
      <c r="I43" s="27"/>
      <c r="J43" s="27"/>
      <c r="K43" s="27"/>
      <c r="L43" s="27"/>
      <c r="M43" s="27"/>
      <c r="N43" s="27"/>
      <c r="O43" s="28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46"/>
  <sheetViews>
    <sheetView showGridLines="0" topLeftCell="A7" zoomScale="112" zoomScaleNormal="112" workbookViewId="0">
      <selection activeCell="C13" sqref="C13"/>
    </sheetView>
  </sheetViews>
  <sheetFormatPr baseColWidth="10" defaultRowHeight="15" x14ac:dyDescent="0.25"/>
  <cols>
    <col min="1" max="1" width="18" bestFit="1" customWidth="1"/>
    <col min="2" max="2" width="52.42578125" customWidth="1"/>
    <col min="3" max="8" width="21.7109375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99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3" t="s">
        <v>139</v>
      </c>
      <c r="D5" s="103" t="s">
        <v>36</v>
      </c>
      <c r="E5" s="103" t="s">
        <v>37</v>
      </c>
    </row>
    <row r="6" spans="1:16" ht="48.75" customHeight="1" x14ac:dyDescent="0.25">
      <c r="C6" s="104"/>
      <c r="D6" s="104"/>
      <c r="E6" s="104"/>
    </row>
    <row r="7" spans="1:16" ht="14.25" customHeight="1" x14ac:dyDescent="0.25">
      <c r="A7" s="4"/>
      <c r="C7" s="105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Captura!K9</f>
        <v>300628521</v>
      </c>
      <c r="D8" s="62">
        <f>Captura!L9</f>
        <v>0.2</v>
      </c>
      <c r="E8" s="38">
        <f>+C8*D8</f>
        <v>60125704.200000003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3" t="s">
        <v>79</v>
      </c>
      <c r="C12" s="44">
        <f>C14*($E$8*70%)</f>
        <v>15404700.806413624</v>
      </c>
      <c r="D12" s="44">
        <f t="shared" ref="D12:G12" si="0">D14*($E$8*70%)</f>
        <v>3849106.2430840619</v>
      </c>
      <c r="E12" s="44">
        <f t="shared" si="0"/>
        <v>3374748.0847253227</v>
      </c>
      <c r="F12" s="44">
        <f t="shared" si="0"/>
        <v>18507875.023835447</v>
      </c>
      <c r="G12" s="44">
        <f t="shared" si="0"/>
        <v>951562.78194154403</v>
      </c>
      <c r="H12" s="45">
        <f>SUM(C12:G12)</f>
        <v>42087992.939999998</v>
      </c>
    </row>
    <row r="13" spans="1:16" ht="15.75" x14ac:dyDescent="0.25">
      <c r="B13" s="46" t="str">
        <f>Tabla35[[#This Row],[Concepto]]</f>
        <v>a) Censo de Población y vivienda 2020</v>
      </c>
      <c r="C13" s="47">
        <f>Captura!C5</f>
        <v>292241</v>
      </c>
      <c r="D13" s="47">
        <f>Captura!D5</f>
        <v>73021</v>
      </c>
      <c r="E13" s="47">
        <f>Captura!E5</f>
        <v>64022</v>
      </c>
      <c r="F13" s="47">
        <f>Captura!F5</f>
        <v>351111</v>
      </c>
      <c r="G13" s="47">
        <f>Captura!G5</f>
        <v>18052</v>
      </c>
      <c r="H13" s="47">
        <f>SUM(C13:G13)</f>
        <v>798447</v>
      </c>
    </row>
    <row r="14" spans="1:16" ht="15.75" x14ac:dyDescent="0.25">
      <c r="B14" s="46" t="s">
        <v>66</v>
      </c>
      <c r="C14" s="48">
        <f>(C13/$H$13)</f>
        <v>0.36601177034919036</v>
      </c>
      <c r="D14" s="49">
        <f>(D13/$H$13)</f>
        <v>9.1453784659470197E-2</v>
      </c>
      <c r="E14" s="49">
        <f>(E13/$H$13)</f>
        <v>8.0183155550712815E-2</v>
      </c>
      <c r="F14" s="49">
        <f>(F13/$H$13)</f>
        <v>0.43974239993387165</v>
      </c>
      <c r="G14" s="49">
        <f>(G13/$H$13)</f>
        <v>2.2608889506754989E-2</v>
      </c>
      <c r="H14" s="49">
        <f>SUM(C14:G14)</f>
        <v>1</v>
      </c>
    </row>
    <row r="15" spans="1:16" ht="15.75" x14ac:dyDescent="0.25">
      <c r="B15" s="42"/>
      <c r="C15" s="42"/>
      <c r="D15" s="42"/>
      <c r="E15" s="42"/>
      <c r="F15" s="42"/>
      <c r="G15" s="42"/>
      <c r="H15" s="42"/>
    </row>
    <row r="16" spans="1:16" ht="15.75" x14ac:dyDescent="0.25">
      <c r="B16" s="50" t="s">
        <v>158</v>
      </c>
      <c r="C16" s="45">
        <f>C20*($E$8*20%)</f>
        <v>5445146.8277368462</v>
      </c>
      <c r="D16" s="45">
        <f t="shared" ref="D16:H16" si="1">D20*($E$8*20%)</f>
        <v>702818.22139477043</v>
      </c>
      <c r="E16" s="45">
        <f t="shared" si="1"/>
        <v>568455.87875184033</v>
      </c>
      <c r="F16" s="45">
        <f t="shared" si="1"/>
        <v>5151650.3633925524</v>
      </c>
      <c r="G16" s="45">
        <f t="shared" si="1"/>
        <v>157069.54872399295</v>
      </c>
      <c r="H16" s="45">
        <f t="shared" si="1"/>
        <v>12025140.840000002</v>
      </c>
    </row>
    <row r="17" spans="1:8" ht="15.75" x14ac:dyDescent="0.25">
      <c r="B17" s="51" t="s">
        <v>140</v>
      </c>
      <c r="C17" s="47">
        <f>Captura!C11</f>
        <v>6566919</v>
      </c>
      <c r="D17" s="47">
        <f>Captura!D11</f>
        <v>828701</v>
      </c>
      <c r="E17" s="47">
        <f>Captura!E11</f>
        <v>605368</v>
      </c>
      <c r="F17" s="47">
        <f>Captura!F11</f>
        <v>6349451</v>
      </c>
      <c r="G17" s="47">
        <f>Captura!G11</f>
        <v>206184</v>
      </c>
      <c r="H17" s="47">
        <f>Captura!H11</f>
        <v>14556623</v>
      </c>
    </row>
    <row r="18" spans="1:8" ht="15.75" x14ac:dyDescent="0.25">
      <c r="B18" s="51" t="s">
        <v>141</v>
      </c>
      <c r="C18" s="47">
        <f>Captura!C12</f>
        <v>5935218.4099999992</v>
      </c>
      <c r="D18" s="47">
        <f>Captura!D12</f>
        <v>784980</v>
      </c>
      <c r="E18" s="47">
        <f>Captura!E12</f>
        <v>699815.08</v>
      </c>
      <c r="F18" s="47">
        <f>Captura!F12</f>
        <v>5478814.2000000002</v>
      </c>
      <c r="G18" s="47">
        <f>Captura!G12</f>
        <v>154450</v>
      </c>
      <c r="H18" s="47">
        <f>Captura!H12</f>
        <v>13053277.689999999</v>
      </c>
    </row>
    <row r="19" spans="1:8" ht="15.75" x14ac:dyDescent="0.25">
      <c r="B19" s="51" t="s">
        <v>80</v>
      </c>
      <c r="C19" s="47">
        <f>+C18+C17</f>
        <v>12502137.41</v>
      </c>
      <c r="D19" s="47">
        <f t="shared" ref="D19:H19" si="2">+D18+D17</f>
        <v>1613681</v>
      </c>
      <c r="E19" s="47">
        <f t="shared" si="2"/>
        <v>1305183.08</v>
      </c>
      <c r="F19" s="47">
        <f t="shared" si="2"/>
        <v>11828265.199999999</v>
      </c>
      <c r="G19" s="47">
        <f t="shared" si="2"/>
        <v>360634</v>
      </c>
      <c r="H19" s="47">
        <f t="shared" si="2"/>
        <v>27609900.689999998</v>
      </c>
    </row>
    <row r="20" spans="1:8" ht="15.75" x14ac:dyDescent="0.25">
      <c r="B20" s="51" t="s">
        <v>81</v>
      </c>
      <c r="C20" s="53">
        <f>C19/$H$19</f>
        <v>0.45281355954055047</v>
      </c>
      <c r="D20" s="53">
        <f t="shared" ref="D20:H20" si="3">D19/$H$19</f>
        <v>5.8445737205583555E-2</v>
      </c>
      <c r="E20" s="53">
        <f t="shared" si="3"/>
        <v>4.727228448426557E-2</v>
      </c>
      <c r="F20" s="53">
        <f t="shared" si="3"/>
        <v>0.42840665501864938</v>
      </c>
      <c r="G20" s="53">
        <f t="shared" si="3"/>
        <v>1.3061763750951038E-2</v>
      </c>
      <c r="H20" s="53">
        <f t="shared" si="3"/>
        <v>1</v>
      </c>
    </row>
    <row r="21" spans="1:8" ht="15.75" x14ac:dyDescent="0.25">
      <c r="B21" s="46"/>
      <c r="C21" s="53"/>
      <c r="D21" s="53"/>
      <c r="E21" s="53"/>
      <c r="F21" s="53"/>
      <c r="G21" s="53"/>
      <c r="H21" s="54"/>
    </row>
    <row r="22" spans="1:8" ht="15.75" x14ac:dyDescent="0.25">
      <c r="B22" s="50" t="s">
        <v>159</v>
      </c>
      <c r="C22" s="44">
        <f>C26*($E$8*10%)</f>
        <v>2618966.5780641194</v>
      </c>
      <c r="D22" s="44">
        <f>D26*($E$8*10%)</f>
        <v>431730.3864172771</v>
      </c>
      <c r="E22" s="44">
        <f>E26*($E$8*10%)</f>
        <v>413495.14086158061</v>
      </c>
      <c r="F22" s="44">
        <f>F26*($E$8*10%)</f>
        <v>2450287.0632375581</v>
      </c>
      <c r="G22" s="44">
        <f>G26*($E$8*10%)</f>
        <v>98091.251419466105</v>
      </c>
      <c r="H22" s="44">
        <f>SUM(C22:G22)</f>
        <v>6012570.4200000018</v>
      </c>
    </row>
    <row r="23" spans="1:8" ht="15.75" x14ac:dyDescent="0.25">
      <c r="B23" s="51" t="s">
        <v>137</v>
      </c>
      <c r="C23" s="63">
        <f>Captura!C13+Captura!C14</f>
        <v>104609000.59</v>
      </c>
      <c r="D23" s="63">
        <f>Captura!D13+Captura!D14</f>
        <v>15608189.970000001</v>
      </c>
      <c r="E23" s="63">
        <f>Captura!E13+Captura!E14</f>
        <v>14839399.6</v>
      </c>
      <c r="F23" s="63">
        <f>Captura!F13+Captura!F14</f>
        <v>94517424.810000002</v>
      </c>
      <c r="G23" s="63">
        <f>Captura!G13+Captura!G14</f>
        <v>3543812.25</v>
      </c>
      <c r="H23" s="63">
        <f>Captura!H13+Captura!H14</f>
        <v>233117827.22</v>
      </c>
    </row>
    <row r="24" spans="1:8" ht="15.75" x14ac:dyDescent="0.25">
      <c r="B24" s="51" t="s">
        <v>138</v>
      </c>
      <c r="C24" s="47">
        <f>Captura!C15+Captura!C16</f>
        <v>77758657.620000005</v>
      </c>
      <c r="D24" s="47">
        <f>Captura!D15+Captura!D16</f>
        <v>14454683</v>
      </c>
      <c r="E24" s="47">
        <f>Captura!E15+Captura!E16</f>
        <v>13953690.449999999</v>
      </c>
      <c r="F24" s="47">
        <f>Captura!F15+Captura!F16</f>
        <v>76104498.129999995</v>
      </c>
      <c r="G24" s="47">
        <f>Captura!G15+Captura!G16</f>
        <v>3286619.25</v>
      </c>
      <c r="H24" s="47">
        <f>Captura!H15+Captura!H16</f>
        <v>185558148.44999999</v>
      </c>
    </row>
    <row r="25" spans="1:8" ht="15.75" x14ac:dyDescent="0.25">
      <c r="B25" s="51" t="s">
        <v>84</v>
      </c>
      <c r="C25" s="47">
        <f>+C24+C23</f>
        <v>182367658.21000001</v>
      </c>
      <c r="D25" s="47">
        <f t="shared" ref="D25:H25" si="4">+D24+D23</f>
        <v>30062872.969999999</v>
      </c>
      <c r="E25" s="47">
        <f t="shared" si="4"/>
        <v>28793090.049999997</v>
      </c>
      <c r="F25" s="47">
        <f t="shared" si="4"/>
        <v>170621922.94</v>
      </c>
      <c r="G25" s="47">
        <f t="shared" si="4"/>
        <v>6830431.5</v>
      </c>
      <c r="H25" s="47">
        <f t="shared" si="4"/>
        <v>418675975.66999996</v>
      </c>
    </row>
    <row r="26" spans="1:8" ht="15.75" x14ac:dyDescent="0.25">
      <c r="B26" s="51" t="s">
        <v>85</v>
      </c>
      <c r="C26" s="49">
        <f>C25/$H$25</f>
        <v>0.43558185519997938</v>
      </c>
      <c r="D26" s="49">
        <f t="shared" ref="D26:H26" si="5">D25/$H$25</f>
        <v>7.1804628679472002E-2</v>
      </c>
      <c r="E26" s="49">
        <f t="shared" si="5"/>
        <v>6.8771775127347376E-2</v>
      </c>
      <c r="F26" s="49">
        <f t="shared" si="5"/>
        <v>0.40752737882071371</v>
      </c>
      <c r="G26" s="49">
        <f t="shared" si="5"/>
        <v>1.6314362172487634E-2</v>
      </c>
      <c r="H26" s="49">
        <f t="shared" si="5"/>
        <v>1</v>
      </c>
    </row>
    <row r="27" spans="1:8" ht="15.75" x14ac:dyDescent="0.25">
      <c r="B27" s="42"/>
      <c r="C27" s="42"/>
      <c r="D27" s="42"/>
      <c r="E27" s="42"/>
      <c r="F27" s="42"/>
      <c r="G27" s="42"/>
      <c r="H27" s="42"/>
    </row>
    <row r="28" spans="1:8" ht="31.5" x14ac:dyDescent="0.25">
      <c r="A28" t="s">
        <v>45</v>
      </c>
      <c r="B28" s="59" t="s">
        <v>86</v>
      </c>
      <c r="C28" s="60">
        <f t="shared" ref="C28:H28" si="6">+C12+C22+C16</f>
        <v>23468814.212214589</v>
      </c>
      <c r="D28" s="60">
        <f t="shared" si="6"/>
        <v>4983654.8508961098</v>
      </c>
      <c r="E28" s="60">
        <f t="shared" si="6"/>
        <v>4356699.1043387437</v>
      </c>
      <c r="F28" s="60">
        <f t="shared" si="6"/>
        <v>26109812.45046556</v>
      </c>
      <c r="G28" s="60">
        <f t="shared" si="6"/>
        <v>1206723.5820850031</v>
      </c>
      <c r="H28" s="60">
        <f t="shared" si="6"/>
        <v>60125704.200000003</v>
      </c>
    </row>
    <row r="29" spans="1:8" ht="15.75" x14ac:dyDescent="0.25">
      <c r="B29" s="50"/>
      <c r="C29" s="42"/>
      <c r="D29" s="42"/>
      <c r="E29" s="42"/>
      <c r="F29" s="42"/>
      <c r="G29" s="42"/>
      <c r="H29" s="42"/>
    </row>
    <row r="30" spans="1:8" ht="15.75" x14ac:dyDescent="0.25">
      <c r="B30" s="50" t="s">
        <v>78</v>
      </c>
      <c r="C30" s="61">
        <f>C28/$H$28</f>
        <v>0.39032913667254127</v>
      </c>
      <c r="D30" s="61">
        <f t="shared" ref="D30:H30" si="7">D28/$H$28</f>
        <v>8.2887259570693053E-2</v>
      </c>
      <c r="E30" s="61">
        <f t="shared" si="7"/>
        <v>7.2459843295086826E-2</v>
      </c>
      <c r="F30" s="61">
        <f t="shared" si="7"/>
        <v>0.43425374883951146</v>
      </c>
      <c r="G30" s="61">
        <f t="shared" si="7"/>
        <v>2.0070011622167462E-2</v>
      </c>
      <c r="H30" s="61">
        <f t="shared" si="7"/>
        <v>1</v>
      </c>
    </row>
    <row r="42" spans="9:16" x14ac:dyDescent="0.25">
      <c r="I42" s="25"/>
      <c r="J42" s="25"/>
      <c r="K42" s="25"/>
      <c r="L42" s="25"/>
      <c r="M42" s="25"/>
      <c r="N42" s="25"/>
      <c r="O42" s="25"/>
      <c r="P42" s="24"/>
    </row>
    <row r="45" spans="9:16" x14ac:dyDescent="0.25">
      <c r="O45" s="5"/>
    </row>
    <row r="46" spans="9:16" x14ac:dyDescent="0.25">
      <c r="I46" s="27"/>
      <c r="J46" s="27"/>
      <c r="K46" s="27"/>
      <c r="L46" s="27"/>
      <c r="M46" s="27"/>
      <c r="N46" s="27"/>
      <c r="O46" s="28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34"/>
  <sheetViews>
    <sheetView showGridLines="0" zoomScale="90" zoomScaleNormal="90" workbookViewId="0">
      <selection activeCell="F18" sqref="F18"/>
    </sheetView>
  </sheetViews>
  <sheetFormatPr baseColWidth="10" defaultRowHeight="15" x14ac:dyDescent="0.25"/>
  <cols>
    <col min="1" max="1" width="18" bestFit="1" customWidth="1"/>
    <col min="2" max="2" width="50.5703125" customWidth="1"/>
    <col min="3" max="8" width="21.7109375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100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8" t="s">
        <v>117</v>
      </c>
      <c r="D5" s="103" t="s">
        <v>36</v>
      </c>
      <c r="E5" s="103" t="s">
        <v>37</v>
      </c>
    </row>
    <row r="6" spans="1:16" ht="48.75" customHeight="1" x14ac:dyDescent="0.25">
      <c r="C6" s="109"/>
      <c r="D6" s="104"/>
      <c r="E6" s="104"/>
    </row>
    <row r="7" spans="1:16" ht="14.25" customHeight="1" x14ac:dyDescent="0.25">
      <c r="A7" s="4"/>
      <c r="C7" s="110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Captura!K11</f>
        <v>75860715</v>
      </c>
      <c r="D8" s="62">
        <f>Captura!L11</f>
        <v>0.2</v>
      </c>
      <c r="E8" s="38">
        <f>+C8*D8</f>
        <v>15172143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3" t="s">
        <v>90</v>
      </c>
      <c r="C12" s="42"/>
      <c r="D12" s="42"/>
      <c r="E12" s="42"/>
      <c r="F12" s="42"/>
      <c r="G12" s="42"/>
      <c r="H12" s="42"/>
    </row>
    <row r="13" spans="1:16" ht="15.75" x14ac:dyDescent="0.25">
      <c r="B13" s="46" t="s">
        <v>160</v>
      </c>
      <c r="C13" s="47">
        <f>Captura!C17</f>
        <v>54347344.659999996</v>
      </c>
      <c r="D13" s="47">
        <f>Captura!D17</f>
        <v>0</v>
      </c>
      <c r="E13" s="47">
        <f>Captura!E17</f>
        <v>0</v>
      </c>
      <c r="F13" s="47">
        <f>Captura!F17</f>
        <v>6364828</v>
      </c>
      <c r="G13" s="47">
        <f>Captura!G17</f>
        <v>0</v>
      </c>
      <c r="H13" s="47">
        <f>Captura!H17</f>
        <v>60712172.659999996</v>
      </c>
    </row>
    <row r="14" spans="1:16" ht="15.75" x14ac:dyDescent="0.25">
      <c r="B14" s="46" t="s">
        <v>66</v>
      </c>
      <c r="C14" s="49">
        <f>(C13/$H$13)</f>
        <v>0.89516389018649889</v>
      </c>
      <c r="D14" s="49">
        <f>(D13/$H$13)</f>
        <v>0</v>
      </c>
      <c r="E14" s="49">
        <f>(E13/$H$13)</f>
        <v>0</v>
      </c>
      <c r="F14" s="49">
        <f>(F13/$H$13)</f>
        <v>0.10483610981350112</v>
      </c>
      <c r="G14" s="49">
        <f>(G13/$H$13)</f>
        <v>0</v>
      </c>
      <c r="H14" s="49">
        <f>SUM(C14:G14)</f>
        <v>1</v>
      </c>
    </row>
    <row r="15" spans="1:16" ht="15.75" x14ac:dyDescent="0.25">
      <c r="B15" s="42"/>
      <c r="C15" s="42"/>
      <c r="D15" s="42"/>
      <c r="E15" s="42"/>
      <c r="F15" s="42"/>
      <c r="G15" s="42"/>
      <c r="H15" s="42"/>
    </row>
    <row r="16" spans="1:16" ht="15.75" x14ac:dyDescent="0.25">
      <c r="A16" t="s">
        <v>45</v>
      </c>
      <c r="B16" s="59" t="s">
        <v>89</v>
      </c>
      <c r="C16" s="44">
        <f>C14*($E$8*100%)</f>
        <v>13581554.550345859</v>
      </c>
      <c r="D16" s="44">
        <f t="shared" ref="D16:H16" si="0">D14*($E$8*100%)</f>
        <v>0</v>
      </c>
      <c r="E16" s="44">
        <f t="shared" si="0"/>
        <v>0</v>
      </c>
      <c r="F16" s="44">
        <f t="shared" si="0"/>
        <v>1590588.4496541424</v>
      </c>
      <c r="G16" s="44">
        <f t="shared" si="0"/>
        <v>0</v>
      </c>
      <c r="H16" s="44">
        <f t="shared" si="0"/>
        <v>15172143</v>
      </c>
    </row>
    <row r="17" spans="2:16" ht="15.75" x14ac:dyDescent="0.25">
      <c r="B17" s="50"/>
      <c r="C17" s="42"/>
      <c r="D17" s="42"/>
      <c r="E17" s="42"/>
      <c r="F17" s="42"/>
      <c r="G17" s="42"/>
      <c r="H17" s="42"/>
    </row>
    <row r="18" spans="2:16" ht="15.75" x14ac:dyDescent="0.25">
      <c r="B18" s="50" t="s">
        <v>91</v>
      </c>
      <c r="C18" s="61">
        <f>C16/$H$16</f>
        <v>0.89516389018649889</v>
      </c>
      <c r="D18" s="61">
        <f t="shared" ref="D18:H18" si="1">D16/$H$16</f>
        <v>0</v>
      </c>
      <c r="E18" s="61">
        <f t="shared" si="1"/>
        <v>0</v>
      </c>
      <c r="F18" s="61">
        <f t="shared" si="1"/>
        <v>0.10483610981350112</v>
      </c>
      <c r="G18" s="61">
        <f t="shared" si="1"/>
        <v>0</v>
      </c>
      <c r="H18" s="61">
        <f t="shared" si="1"/>
        <v>1</v>
      </c>
    </row>
    <row r="30" spans="2:16" x14ac:dyDescent="0.25">
      <c r="I30" s="25"/>
      <c r="J30" s="25"/>
      <c r="K30" s="25"/>
      <c r="L30" s="25"/>
      <c r="M30" s="25"/>
      <c r="N30" s="25"/>
      <c r="O30" s="25"/>
      <c r="P30" s="24"/>
    </row>
    <row r="33" spans="9:15" x14ac:dyDescent="0.25">
      <c r="O33" s="5"/>
    </row>
    <row r="34" spans="9:15" x14ac:dyDescent="0.25">
      <c r="I34" s="27"/>
      <c r="J34" s="27"/>
      <c r="K34" s="27"/>
      <c r="L34" s="27"/>
      <c r="M34" s="27"/>
      <c r="N34" s="27"/>
      <c r="O34" s="28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34"/>
  <sheetViews>
    <sheetView showGridLines="0" zoomScale="90" zoomScaleNormal="90" workbookViewId="0">
      <selection activeCell="B14" sqref="B14"/>
    </sheetView>
  </sheetViews>
  <sheetFormatPr baseColWidth="10" defaultRowHeight="15" x14ac:dyDescent="0.25"/>
  <cols>
    <col min="1" max="1" width="18" bestFit="1" customWidth="1"/>
    <col min="2" max="2" width="44.85546875" customWidth="1"/>
    <col min="3" max="8" width="19" customWidth="1"/>
    <col min="9" max="9" width="14.42578125" customWidth="1"/>
    <col min="10" max="10" width="15.85546875" bestFit="1" customWidth="1"/>
    <col min="11" max="11" width="15.85546875" customWidth="1"/>
    <col min="12" max="12" width="16.28515625" bestFit="1" customWidth="1"/>
    <col min="13" max="13" width="16.28515625" customWidth="1"/>
    <col min="14" max="14" width="14.42578125" bestFit="1" customWidth="1"/>
    <col min="15" max="15" width="18.140625" bestFit="1" customWidth="1"/>
    <col min="16" max="16" width="21.5703125" customWidth="1"/>
    <col min="19" max="19" width="15.28515625" bestFit="1" customWidth="1"/>
    <col min="20" max="20" width="14.85546875" customWidth="1"/>
    <col min="21" max="21" width="15.28515625" bestFit="1" customWidth="1"/>
    <col min="22" max="22" width="16.42578125" bestFit="1" customWidth="1"/>
  </cols>
  <sheetData>
    <row r="2" spans="1:16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6" customHeight="1" x14ac:dyDescent="0.25">
      <c r="B3" s="106" t="s">
        <v>101</v>
      </c>
      <c r="C3" s="106"/>
      <c r="D3" s="106"/>
      <c r="E3" s="106"/>
      <c r="F3" s="106"/>
      <c r="G3" s="106"/>
      <c r="H3" s="106"/>
      <c r="I3" s="30"/>
      <c r="J3" s="30"/>
      <c r="K3" s="30"/>
      <c r="L3" s="30"/>
      <c r="M3" s="30"/>
      <c r="N3" s="30"/>
      <c r="O3" s="30"/>
      <c r="P3" s="30"/>
    </row>
    <row r="4" spans="1:16" ht="15.75" customHeight="1" x14ac:dyDescent="0.25">
      <c r="B4" s="106"/>
      <c r="C4" s="106"/>
      <c r="D4" s="106"/>
      <c r="E4" s="106"/>
      <c r="F4" s="106"/>
      <c r="G4" s="106"/>
      <c r="H4" s="106"/>
      <c r="I4" s="30"/>
      <c r="J4" s="30"/>
      <c r="K4" s="30"/>
      <c r="L4" s="30"/>
      <c r="M4" s="30"/>
      <c r="N4" s="30"/>
      <c r="O4" s="30"/>
      <c r="P4" s="30"/>
    </row>
    <row r="5" spans="1:16" ht="15" customHeight="1" x14ac:dyDescent="0.25">
      <c r="C5" s="103" t="s">
        <v>119</v>
      </c>
      <c r="D5" s="103" t="s">
        <v>36</v>
      </c>
      <c r="E5" s="103" t="s">
        <v>37</v>
      </c>
    </row>
    <row r="6" spans="1:16" ht="48.75" customHeight="1" x14ac:dyDescent="0.25">
      <c r="C6" s="104"/>
      <c r="D6" s="104"/>
      <c r="E6" s="104"/>
    </row>
    <row r="7" spans="1:16" ht="14.25" customHeight="1" x14ac:dyDescent="0.25">
      <c r="A7" s="4"/>
      <c r="C7" s="105"/>
      <c r="D7" s="105"/>
      <c r="E7" s="105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C8" s="38">
        <f>Captura!K10</f>
        <v>13704204</v>
      </c>
      <c r="D8" s="62">
        <f>Captura!L10</f>
        <v>0.2</v>
      </c>
      <c r="E8" s="38">
        <f>+C8*D8</f>
        <v>2740840.8000000003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C9" s="26"/>
    </row>
    <row r="10" spans="1:16" ht="30.75" customHeight="1" x14ac:dyDescent="0.25">
      <c r="B10" s="39" t="s">
        <v>47</v>
      </c>
      <c r="C10" s="40" t="s">
        <v>0</v>
      </c>
      <c r="D10" s="40" t="s">
        <v>11</v>
      </c>
      <c r="E10" s="40" t="s">
        <v>12</v>
      </c>
      <c r="F10" s="40" t="s">
        <v>3</v>
      </c>
      <c r="G10" s="40" t="s">
        <v>4</v>
      </c>
      <c r="H10" s="40" t="s">
        <v>8</v>
      </c>
    </row>
    <row r="11" spans="1:16" ht="15.75" x14ac:dyDescent="0.25">
      <c r="B11" s="41"/>
      <c r="C11" s="42"/>
      <c r="D11" s="42"/>
      <c r="E11" s="42"/>
      <c r="F11" s="42"/>
      <c r="G11" s="42"/>
      <c r="H11" s="42"/>
    </row>
    <row r="12" spans="1:16" ht="15.75" x14ac:dyDescent="0.25">
      <c r="B12" s="43" t="s">
        <v>90</v>
      </c>
      <c r="C12" s="42"/>
      <c r="D12" s="42"/>
      <c r="E12" s="42"/>
      <c r="F12" s="42"/>
      <c r="G12" s="42"/>
      <c r="H12" s="42"/>
    </row>
    <row r="13" spans="1:16" ht="15.75" x14ac:dyDescent="0.25">
      <c r="B13" s="46" t="s">
        <v>160</v>
      </c>
      <c r="C13" s="47">
        <f>Captura!C17</f>
        <v>54347344.659999996</v>
      </c>
      <c r="D13" s="47">
        <f>Captura!D17</f>
        <v>0</v>
      </c>
      <c r="E13" s="47">
        <f>Captura!E17</f>
        <v>0</v>
      </c>
      <c r="F13" s="47">
        <f>Captura!F17</f>
        <v>6364828</v>
      </c>
      <c r="G13" s="47">
        <f>Captura!G17</f>
        <v>0</v>
      </c>
      <c r="H13" s="47">
        <f>Captura!H17</f>
        <v>60712172.659999996</v>
      </c>
    </row>
    <row r="14" spans="1:16" ht="15.75" x14ac:dyDescent="0.25">
      <c r="B14" s="46" t="s">
        <v>66</v>
      </c>
      <c r="C14" s="49">
        <f>(C13/$H$13)</f>
        <v>0.89516389018649889</v>
      </c>
      <c r="D14" s="49">
        <f>(D13/$H$13)</f>
        <v>0</v>
      </c>
      <c r="E14" s="49">
        <f>(E13/$H$13)</f>
        <v>0</v>
      </c>
      <c r="F14" s="49">
        <f>(F13/$H$13)</f>
        <v>0.10483610981350112</v>
      </c>
      <c r="G14" s="49">
        <f>(G13/$H$13)</f>
        <v>0</v>
      </c>
      <c r="H14" s="49">
        <f>SUM(C14:G14)</f>
        <v>1</v>
      </c>
    </row>
    <row r="15" spans="1:16" ht="15.75" x14ac:dyDescent="0.25">
      <c r="B15" s="42"/>
      <c r="C15" s="42"/>
      <c r="D15" s="42"/>
      <c r="E15" s="42"/>
      <c r="F15" s="42"/>
      <c r="G15" s="42"/>
      <c r="H15" s="42"/>
    </row>
    <row r="16" spans="1:16" ht="31.5" x14ac:dyDescent="0.25">
      <c r="A16" t="s">
        <v>45</v>
      </c>
      <c r="B16" s="59" t="s">
        <v>89</v>
      </c>
      <c r="C16" s="44">
        <f>C14*($E$8*100%)</f>
        <v>2453501.7129098759</v>
      </c>
      <c r="D16" s="44">
        <f t="shared" ref="D16:H16" si="0">D14*($E$8*100%)</f>
        <v>0</v>
      </c>
      <c r="E16" s="44">
        <f t="shared" si="0"/>
        <v>0</v>
      </c>
      <c r="F16" s="44">
        <f t="shared" si="0"/>
        <v>287339.08709012432</v>
      </c>
      <c r="G16" s="44">
        <f t="shared" si="0"/>
        <v>0</v>
      </c>
      <c r="H16" s="44">
        <f t="shared" si="0"/>
        <v>2740840.8000000003</v>
      </c>
    </row>
    <row r="17" spans="2:16" ht="15.75" x14ac:dyDescent="0.25">
      <c r="B17" s="50"/>
      <c r="C17" s="42"/>
      <c r="D17" s="42"/>
      <c r="E17" s="42"/>
      <c r="F17" s="42"/>
      <c r="G17" s="42"/>
      <c r="H17" s="42"/>
    </row>
    <row r="18" spans="2:16" ht="15.75" x14ac:dyDescent="0.25">
      <c r="B18" s="50" t="s">
        <v>91</v>
      </c>
      <c r="C18" s="61">
        <f>C16/$H$16</f>
        <v>0.89516389018649889</v>
      </c>
      <c r="D18" s="61">
        <f t="shared" ref="D18:H18" si="1">D16/$H$16</f>
        <v>0</v>
      </c>
      <c r="E18" s="61">
        <f t="shared" si="1"/>
        <v>0</v>
      </c>
      <c r="F18" s="61">
        <f t="shared" si="1"/>
        <v>0.10483610981350112</v>
      </c>
      <c r="G18" s="61">
        <f t="shared" si="1"/>
        <v>0</v>
      </c>
      <c r="H18" s="61">
        <f t="shared" si="1"/>
        <v>1</v>
      </c>
    </row>
    <row r="30" spans="2:16" x14ac:dyDescent="0.25">
      <c r="I30" s="25"/>
      <c r="J30" s="25"/>
      <c r="K30" s="25"/>
      <c r="L30" s="25"/>
      <c r="M30" s="25"/>
      <c r="N30" s="25"/>
      <c r="O30" s="25"/>
      <c r="P30" s="24"/>
    </row>
    <row r="33" spans="9:15" x14ac:dyDescent="0.25">
      <c r="O33" s="5"/>
    </row>
    <row r="34" spans="9:15" x14ac:dyDescent="0.25">
      <c r="I34" s="27"/>
      <c r="J34" s="27"/>
      <c r="K34" s="27"/>
      <c r="L34" s="27"/>
      <c r="M34" s="27"/>
      <c r="N34" s="27"/>
      <c r="O34" s="28"/>
    </row>
  </sheetData>
  <mergeCells count="5">
    <mergeCell ref="B2:P2"/>
    <mergeCell ref="B3:H4"/>
    <mergeCell ref="C5:C7"/>
    <mergeCell ref="D5:D7"/>
    <mergeCell ref="E5:E7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Captura</vt:lpstr>
      <vt:lpstr>Acumulado</vt:lpstr>
      <vt:lpstr>FGP</vt:lpstr>
      <vt:lpstr>IEPS-BCT</vt:lpstr>
      <vt:lpstr>FFM</vt:lpstr>
      <vt:lpstr>FOFIR</vt:lpstr>
      <vt:lpstr>IEPS-GASOLINA</vt:lpstr>
      <vt:lpstr>ISAN</vt:lpstr>
      <vt:lpstr>Comp. ISAN</vt:lpstr>
      <vt:lpstr>ISTV</vt:lpstr>
      <vt:lpstr>ISR 3-B LCF</vt:lpstr>
      <vt:lpstr>ISR 126</vt:lpstr>
      <vt:lpstr>Acumulado!Área_de_impresión</vt:lpstr>
      <vt:lpstr>FGP!Área_de_impresión</vt:lpstr>
      <vt:lpstr>'IEPS-BCT'!Área_de_impresión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Maria Geraldo Lopez</dc:creator>
  <cp:lastModifiedBy>Lic. José Miguel Cota Silva</cp:lastModifiedBy>
  <cp:lastPrinted>2022-01-17T17:53:04Z</cp:lastPrinted>
  <dcterms:created xsi:type="dcterms:W3CDTF">2021-01-14T00:59:16Z</dcterms:created>
  <dcterms:modified xsi:type="dcterms:W3CDTF">2022-02-01T21:44:47Z</dcterms:modified>
</cp:coreProperties>
</file>